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139.xml" ContentType="application/vnd.openxmlformats-officedocument.spreadsheetml.worksheet+xml"/>
  <Default Extension="xml" ContentType="application/xml"/>
  <Override PartName="/xl/worksheets/sheet128.xml" ContentType="application/vnd.openxmlformats-officedocument.spreadsheetml.worksheet+xml"/>
  <Override PartName="/xl/worksheets/sheet157.xml" ContentType="application/vnd.openxmlformats-officedocument.spreadsheetml.worksheet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69.xml" ContentType="application/vnd.openxmlformats-officedocument.spreadsheetml.worksheet+xml"/>
  <Override PartName="/xl/worksheets/sheet87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53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worksheets/sheet94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42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worksheets/sheet158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47.xml" ContentType="application/vnd.openxmlformats-officedocument.spreadsheetml.worksheet+xml"/>
  <Override PartName="/docProps/app.xml" ContentType="application/vnd.openxmlformats-officedocument.extended-properties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54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52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3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worksheets/sheet96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51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0.xml" ContentType="application/vnd.openxmlformats-officedocument.spreadsheetml.workshee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56.xml" ContentType="application/vnd.openxmlformats-officedocument.spreadsheetml.worksheet+xml"/>
  <Override PartName="/xl/worksheets/sheet2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4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5135" windowHeight="8895" tabRatio="927" firstSheet="125" activeTab="137"/>
  </bookViews>
  <sheets>
    <sheet name="1" sheetId="1" r:id="rId1"/>
    <sheet name="2" sheetId="9" r:id="rId2"/>
    <sheet name="3" sheetId="8" r:id="rId3"/>
    <sheet name="4" sheetId="7" r:id="rId4"/>
    <sheet name="7" sheetId="6" r:id="rId5"/>
    <sheet name="8" sheetId="5" r:id="rId6"/>
    <sheet name="9" sheetId="4" r:id="rId7"/>
    <sheet name="10" sheetId="10" r:id="rId8"/>
    <sheet name="11" sheetId="15" r:id="rId9"/>
    <sheet name="12" sheetId="14" r:id="rId10"/>
    <sheet name="13" sheetId="13" r:id="rId11"/>
    <sheet name="14" sheetId="12" r:id="rId12"/>
    <sheet name="15" sheetId="11" r:id="rId13"/>
    <sheet name="16" sheetId="31" r:id="rId14"/>
    <sheet name="17" sheetId="30" r:id="rId15"/>
    <sheet name="18" sheetId="29" r:id="rId16"/>
    <sheet name="19" sheetId="28" r:id="rId17"/>
    <sheet name="20" sheetId="27" r:id="rId18"/>
    <sheet name="21" sheetId="65" r:id="rId19"/>
    <sheet name="22" sheetId="26" r:id="rId20"/>
    <sheet name="23" sheetId="25" r:id="rId21"/>
    <sheet name="24" sheetId="24" r:id="rId22"/>
    <sheet name="25" sheetId="23" r:id="rId23"/>
    <sheet name="26" sheetId="22" r:id="rId24"/>
    <sheet name="27" sheetId="21" r:id="rId25"/>
    <sheet name="28" sheetId="20" r:id="rId26"/>
    <sheet name="29" sheetId="109" r:id="rId27"/>
    <sheet name="30" sheetId="19" r:id="rId28"/>
    <sheet name="31" sheetId="66" r:id="rId29"/>
    <sheet name="32" sheetId="18" r:id="rId30"/>
    <sheet name="33" sheetId="17" r:id="rId31"/>
    <sheet name="34" sheetId="126" r:id="rId32"/>
    <sheet name="35" sheetId="125" r:id="rId33"/>
    <sheet name="36" sheetId="124" r:id="rId34"/>
    <sheet name="37" sheetId="123" r:id="rId35"/>
    <sheet name="38" sheetId="122" r:id="rId36"/>
    <sheet name="39" sheetId="121" r:id="rId37"/>
    <sheet name="40" sheetId="120" r:id="rId38"/>
    <sheet name="41" sheetId="119" r:id="rId39"/>
    <sheet name="49" sheetId="35" r:id="rId40"/>
    <sheet name="50" sheetId="34" r:id="rId41"/>
    <sheet name="51" sheetId="33" r:id="rId42"/>
    <sheet name="52" sheetId="32" r:id="rId43"/>
    <sheet name="53" sheetId="16" r:id="rId44"/>
    <sheet name="54" sheetId="50" r:id="rId45"/>
    <sheet name="55" sheetId="49" r:id="rId46"/>
    <sheet name="56" sheetId="48" r:id="rId47"/>
    <sheet name="57" sheetId="47" r:id="rId48"/>
    <sheet name="58" sheetId="46" r:id="rId49"/>
    <sheet name="59" sheetId="45" r:id="rId50"/>
    <sheet name="60" sheetId="44" r:id="rId51"/>
    <sheet name="61" sheetId="43" r:id="rId52"/>
    <sheet name="62" sheetId="127" r:id="rId53"/>
    <sheet name="63" sheetId="41" r:id="rId54"/>
    <sheet name="64" sheetId="40" r:id="rId55"/>
    <sheet name="65" sheetId="39" r:id="rId56"/>
    <sheet name="66" sheetId="38" r:id="rId57"/>
    <sheet name="67" sheetId="37" r:id="rId58"/>
    <sheet name="68" sheetId="36" r:id="rId59"/>
    <sheet name="69" sheetId="57" r:id="rId60"/>
    <sheet name="70" sheetId="56" r:id="rId61"/>
    <sheet name="71" sheetId="55" r:id="rId62"/>
    <sheet name="72" sheetId="54" r:id="rId63"/>
    <sheet name="73" sheetId="53" r:id="rId64"/>
    <sheet name="74" sheetId="135" r:id="rId65"/>
    <sheet name="75" sheetId="134" r:id="rId66"/>
    <sheet name="76" sheetId="133" r:id="rId67"/>
    <sheet name="77" sheetId="131" r:id="rId68"/>
    <sheet name="78" sheetId="130" r:id="rId69"/>
    <sheet name="79" sheetId="129" r:id="rId70"/>
    <sheet name="80" sheetId="128" r:id="rId71"/>
    <sheet name="81" sheetId="142" r:id="rId72"/>
    <sheet name="82" sheetId="141" r:id="rId73"/>
    <sheet name="83" sheetId="140" r:id="rId74"/>
    <sheet name="84" sheetId="139" r:id="rId75"/>
    <sheet name="85" sheetId="138" r:id="rId76"/>
    <sheet name="86" sheetId="137" r:id="rId77"/>
    <sheet name="87" sheetId="136" r:id="rId78"/>
    <sheet name="88" sheetId="153" r:id="rId79"/>
    <sheet name="89" sheetId="152" r:id="rId80"/>
    <sheet name="90" sheetId="151" r:id="rId81"/>
    <sheet name="91" sheetId="150" r:id="rId82"/>
    <sheet name="92" sheetId="149" r:id="rId83"/>
    <sheet name="93" sheetId="148" r:id="rId84"/>
    <sheet name="94" sheetId="163" r:id="rId85"/>
    <sheet name="95" sheetId="162" r:id="rId86"/>
    <sheet name="96" sheetId="161" r:id="rId87"/>
    <sheet name="97" sheetId="169" r:id="rId88"/>
    <sheet name="98" sheetId="168" r:id="rId89"/>
    <sheet name="99" sheetId="167" r:id="rId90"/>
    <sheet name="100" sheetId="166" r:id="rId91"/>
    <sheet name="101" sheetId="165" r:id="rId92"/>
    <sheet name="102" sheetId="164" r:id="rId93"/>
    <sheet name="103" sheetId="160" r:id="rId94"/>
    <sheet name="104" sheetId="147" r:id="rId95"/>
    <sheet name="105" sheetId="146" r:id="rId96"/>
    <sheet name="106" sheetId="145" r:id="rId97"/>
    <sheet name="107" sheetId="144" r:id="rId98"/>
    <sheet name="108" sheetId="143" r:id="rId99"/>
    <sheet name="109" sheetId="155" r:id="rId100"/>
    <sheet name="110" sheetId="154" r:id="rId101"/>
    <sheet name="111" sheetId="156" r:id="rId102"/>
    <sheet name="112" sheetId="159" r:id="rId103"/>
    <sheet name="113" sheetId="177" r:id="rId104"/>
    <sheet name="113а" sheetId="176" r:id="rId105"/>
    <sheet name="113б" sheetId="175" r:id="rId106"/>
    <sheet name="114" sheetId="174" r:id="rId107"/>
    <sheet name="114а" sheetId="178" r:id="rId108"/>
    <sheet name="114б" sheetId="184" r:id="rId109"/>
    <sheet name="115" sheetId="185" r:id="rId110"/>
    <sheet name="115а" sheetId="190" r:id="rId111"/>
    <sheet name="116" sheetId="188" r:id="rId112"/>
    <sheet name="115б" sheetId="189" r:id="rId113"/>
    <sheet name="116а" sheetId="187" r:id="rId114"/>
    <sheet name="116б" sheetId="186" r:id="rId115"/>
    <sheet name="117" sheetId="183" r:id="rId116"/>
    <sheet name="117а" sheetId="182" r:id="rId117"/>
    <sheet name="118" sheetId="181" r:id="rId118"/>
    <sheet name="119" sheetId="180" r:id="rId119"/>
    <sheet name="120" sheetId="179" r:id="rId120"/>
    <sheet name="121" sheetId="173" r:id="rId121"/>
    <sheet name="122" sheetId="210" r:id="rId122"/>
    <sheet name="123" sheetId="209" r:id="rId123"/>
    <sheet name="124" sheetId="208" r:id="rId124"/>
    <sheet name="125" sheetId="207" r:id="rId125"/>
    <sheet name="126" sheetId="206" r:id="rId126"/>
    <sheet name="127" sheetId="205" r:id="rId127"/>
    <sheet name="128" sheetId="204" r:id="rId128"/>
    <sheet name="129" sheetId="203" r:id="rId129"/>
    <sheet name="130" sheetId="202" r:id="rId130"/>
    <sheet name="131" sheetId="201" r:id="rId131"/>
    <sheet name="132" sheetId="200" r:id="rId132"/>
    <sheet name="133" sheetId="199" r:id="rId133"/>
    <sheet name="134" sheetId="198" r:id="rId134"/>
    <sheet name="135" sheetId="197" r:id="rId135"/>
    <sheet name="136" sheetId="196" r:id="rId136"/>
    <sheet name="137" sheetId="195" r:id="rId137"/>
    <sheet name="138" sheetId="224" r:id="rId138"/>
    <sheet name="139" sheetId="223" r:id="rId139"/>
    <sheet name="140" sheetId="222" r:id="rId140"/>
    <sheet name="141" sheetId="221" r:id="rId141"/>
    <sheet name="142" sheetId="220" r:id="rId142"/>
    <sheet name="143" sheetId="219" r:id="rId143"/>
    <sheet name="144" sheetId="218" r:id="rId144"/>
    <sheet name="145" sheetId="217" r:id="rId145"/>
    <sheet name="146" sheetId="216" r:id="rId146"/>
    <sheet name="147" sheetId="215" r:id="rId147"/>
    <sheet name="148" sheetId="214" r:id="rId148"/>
    <sheet name="150" sheetId="212" r:id="rId149"/>
    <sheet name="151" sheetId="213" r:id="rId150"/>
    <sheet name="152" sheetId="211" r:id="rId151"/>
    <sheet name="153" sheetId="194" r:id="rId152"/>
    <sheet name="154" sheetId="193" r:id="rId153"/>
    <sheet name="167" sheetId="192" r:id="rId154"/>
    <sheet name="168" sheetId="191" r:id="rId155"/>
    <sheet name="169" sheetId="172" r:id="rId156"/>
    <sheet name="170" sheetId="171" r:id="rId157"/>
    <sheet name="171" sheetId="170" r:id="rId158"/>
  </sheets>
  <externalReferences>
    <externalReference r:id="rId159"/>
    <externalReference r:id="rId160"/>
  </externalReferences>
  <calcPr calcId="125725"/>
</workbook>
</file>

<file path=xl/calcChain.xml><?xml version="1.0" encoding="utf-8"?>
<calcChain xmlns="http://schemas.openxmlformats.org/spreadsheetml/2006/main">
  <c r="E62" i="170"/>
  <c r="D62"/>
  <c r="B62"/>
  <c r="D59"/>
  <c r="E59" s="1"/>
  <c r="E50"/>
  <c r="D50"/>
  <c r="B50"/>
  <c r="D48"/>
  <c r="E48" s="1"/>
  <c r="D31"/>
  <c r="E4"/>
  <c r="D4"/>
  <c r="B4"/>
  <c r="E62" i="171"/>
  <c r="D62"/>
  <c r="B62"/>
  <c r="D59"/>
  <c r="E59" s="1"/>
  <c r="E50"/>
  <c r="D50"/>
  <c r="B50"/>
  <c r="D48"/>
  <c r="E48" s="1"/>
  <c r="D31"/>
  <c r="E4"/>
  <c r="D4"/>
  <c r="B4"/>
  <c r="E62" i="172"/>
  <c r="D62"/>
  <c r="B62"/>
  <c r="D59"/>
  <c r="E59" s="1"/>
  <c r="E50"/>
  <c r="D50"/>
  <c r="B50"/>
  <c r="D48"/>
  <c r="E48" s="1"/>
  <c r="D31"/>
  <c r="E4"/>
  <c r="D4"/>
  <c r="B4"/>
  <c r="E62" i="191"/>
  <c r="D62"/>
  <c r="B62"/>
  <c r="D59"/>
  <c r="E59" s="1"/>
  <c r="E50"/>
  <c r="D50"/>
  <c r="B50"/>
  <c r="D48"/>
  <c r="E48" s="1"/>
  <c r="D31"/>
  <c r="E4"/>
  <c r="D4"/>
  <c r="B4"/>
  <c r="E62" i="192"/>
  <c r="D62"/>
  <c r="B62"/>
  <c r="D59"/>
  <c r="E59" s="1"/>
  <c r="E50"/>
  <c r="D50"/>
  <c r="B50"/>
  <c r="D48"/>
  <c r="E48" s="1"/>
  <c r="D31"/>
  <c r="E4"/>
  <c r="D4"/>
  <c r="B4"/>
  <c r="E62" i="193"/>
  <c r="D62"/>
  <c r="B62"/>
  <c r="D59"/>
  <c r="E59" s="1"/>
  <c r="E50"/>
  <c r="D50"/>
  <c r="B50"/>
  <c r="D48"/>
  <c r="E48" s="1"/>
  <c r="D31"/>
  <c r="E4"/>
  <c r="D4"/>
  <c r="B4"/>
  <c r="E62" i="194"/>
  <c r="D62"/>
  <c r="B62"/>
  <c r="D59"/>
  <c r="E59" s="1"/>
  <c r="E50"/>
  <c r="D50"/>
  <c r="B50"/>
  <c r="D48"/>
  <c r="E48" s="1"/>
  <c r="D31"/>
  <c r="E4"/>
  <c r="D4"/>
  <c r="B4"/>
  <c r="E62" i="211"/>
  <c r="D62"/>
  <c r="B62"/>
  <c r="D59"/>
  <c r="E59" s="1"/>
  <c r="E50"/>
  <c r="D50"/>
  <c r="B50"/>
  <c r="D48"/>
  <c r="E48" s="1"/>
  <c r="D31"/>
  <c r="E4"/>
  <c r="D4"/>
  <c r="B4"/>
  <c r="E62" i="213"/>
  <c r="D62"/>
  <c r="B62"/>
  <c r="D59"/>
  <c r="E59" s="1"/>
  <c r="E50"/>
  <c r="D50"/>
  <c r="B50"/>
  <c r="D48"/>
  <c r="E48" s="1"/>
  <c r="D31"/>
  <c r="E4"/>
  <c r="D4"/>
  <c r="B4"/>
  <c r="E62" i="212"/>
  <c r="D62"/>
  <c r="B62"/>
  <c r="D59"/>
  <c r="E59" s="1"/>
  <c r="E50"/>
  <c r="D50"/>
  <c r="B50"/>
  <c r="D48"/>
  <c r="E48" s="1"/>
  <c r="D31"/>
  <c r="E4"/>
  <c r="D4"/>
  <c r="B4"/>
  <c r="E62" i="214"/>
  <c r="D62"/>
  <c r="B62"/>
  <c r="D59"/>
  <c r="E59" s="1"/>
  <c r="E50"/>
  <c r="D50"/>
  <c r="B50"/>
  <c r="D48"/>
  <c r="E48" s="1"/>
  <c r="D31"/>
  <c r="E4"/>
  <c r="D4"/>
  <c r="B4"/>
  <c r="E62" i="215"/>
  <c r="D62"/>
  <c r="B62"/>
  <c r="D59"/>
  <c r="E59" s="1"/>
  <c r="E50"/>
  <c r="D50"/>
  <c r="B50"/>
  <c r="D48"/>
  <c r="E48" s="1"/>
  <c r="D31"/>
  <c r="E4"/>
  <c r="D4"/>
  <c r="B4"/>
  <c r="D62" i="216"/>
  <c r="E62" s="1"/>
  <c r="E59"/>
  <c r="D59"/>
  <c r="B59"/>
  <c r="D50"/>
  <c r="E50" s="1"/>
  <c r="E48"/>
  <c r="D48"/>
  <c r="B48"/>
  <c r="D47"/>
  <c r="E47" s="1"/>
  <c r="E31"/>
  <c r="D31"/>
  <c r="B31"/>
  <c r="D4"/>
  <c r="D64" s="1"/>
  <c r="D62" i="217"/>
  <c r="E62" s="1"/>
  <c r="E59"/>
  <c r="D59"/>
  <c r="B59"/>
  <c r="D50"/>
  <c r="E50" s="1"/>
  <c r="E48"/>
  <c r="D48"/>
  <c r="B48"/>
  <c r="D47"/>
  <c r="E47" s="1"/>
  <c r="E31"/>
  <c r="D31"/>
  <c r="B31"/>
  <c r="D4"/>
  <c r="D64" s="1"/>
  <c r="E62" i="218"/>
  <c r="D62"/>
  <c r="B62"/>
  <c r="D59"/>
  <c r="E59" s="1"/>
  <c r="E50"/>
  <c r="D50"/>
  <c r="B50"/>
  <c r="D48"/>
  <c r="E48" s="1"/>
  <c r="D31"/>
  <c r="E4"/>
  <c r="D4"/>
  <c r="B4"/>
  <c r="E62" i="219"/>
  <c r="D62"/>
  <c r="B62"/>
  <c r="D59"/>
  <c r="E59" s="1"/>
  <c r="E50"/>
  <c r="D50"/>
  <c r="B50"/>
  <c r="D48"/>
  <c r="E48" s="1"/>
  <c r="D31"/>
  <c r="E4"/>
  <c r="D4"/>
  <c r="B4"/>
  <c r="E62" i="220"/>
  <c r="D62"/>
  <c r="B62"/>
  <c r="D59"/>
  <c r="E59" s="1"/>
  <c r="E50"/>
  <c r="D50"/>
  <c r="B50"/>
  <c r="D48"/>
  <c r="E48" s="1"/>
  <c r="D31"/>
  <c r="E4"/>
  <c r="D4"/>
  <c r="B4"/>
  <c r="E62" i="221"/>
  <c r="D62"/>
  <c r="B62"/>
  <c r="D59"/>
  <c r="E59" s="1"/>
  <c r="E50"/>
  <c r="D50"/>
  <c r="B50"/>
  <c r="D48"/>
  <c r="E48" s="1"/>
  <c r="D31"/>
  <c r="E4"/>
  <c r="D4"/>
  <c r="B4"/>
  <c r="E62" i="222"/>
  <c r="D62"/>
  <c r="B62"/>
  <c r="D59"/>
  <c r="E59" s="1"/>
  <c r="E50"/>
  <c r="D50"/>
  <c r="B50"/>
  <c r="D48"/>
  <c r="E48" s="1"/>
  <c r="D31"/>
  <c r="E4"/>
  <c r="D4"/>
  <c r="B4"/>
  <c r="D62" i="223"/>
  <c r="E62" s="1"/>
  <c r="D59"/>
  <c r="E59" s="1"/>
  <c r="B59"/>
  <c r="D50"/>
  <c r="E50" s="1"/>
  <c r="E48"/>
  <c r="D48"/>
  <c r="B48"/>
  <c r="D47"/>
  <c r="E47" s="1"/>
  <c r="D31"/>
  <c r="E31" s="1"/>
  <c r="D4"/>
  <c r="D64" s="1"/>
  <c r="E66" i="224"/>
  <c r="E65"/>
  <c r="E64"/>
  <c r="E62"/>
  <c r="E59"/>
  <c r="E50"/>
  <c r="E48"/>
  <c r="E47"/>
  <c r="E31"/>
  <c r="E4"/>
  <c r="D62"/>
  <c r="B62" s="1"/>
  <c r="D59"/>
  <c r="B59" s="1"/>
  <c r="D50"/>
  <c r="B50" s="1"/>
  <c r="D48"/>
  <c r="B48" s="1"/>
  <c r="B47" s="1"/>
  <c r="D31"/>
  <c r="B31" s="1"/>
  <c r="D4"/>
  <c r="B4" s="1"/>
  <c r="C28" i="195"/>
  <c r="C26"/>
  <c r="C24"/>
  <c r="C23"/>
  <c r="C22"/>
  <c r="C21"/>
  <c r="C16"/>
  <c r="C5"/>
  <c r="C28" i="196"/>
  <c r="C26"/>
  <c r="C24"/>
  <c r="C23"/>
  <c r="C22"/>
  <c r="C21"/>
  <c r="C16"/>
  <c r="C5"/>
  <c r="C28" i="197"/>
  <c r="C26"/>
  <c r="C24"/>
  <c r="C23"/>
  <c r="C22"/>
  <c r="C21"/>
  <c r="C16"/>
  <c r="C5"/>
  <c r="C28" i="198"/>
  <c r="C26"/>
  <c r="C24"/>
  <c r="C23"/>
  <c r="C22"/>
  <c r="C21"/>
  <c r="C16"/>
  <c r="C5"/>
  <c r="C28" i="199"/>
  <c r="C26"/>
  <c r="C24"/>
  <c r="C23"/>
  <c r="C22"/>
  <c r="C21"/>
  <c r="C16"/>
  <c r="C5"/>
  <c r="C28" i="200"/>
  <c r="C26"/>
  <c r="C24"/>
  <c r="C23"/>
  <c r="C22"/>
  <c r="C21"/>
  <c r="C16"/>
  <c r="C5"/>
  <c r="C28" i="201"/>
  <c r="C26"/>
  <c r="C24"/>
  <c r="C23"/>
  <c r="C22"/>
  <c r="C21"/>
  <c r="C16"/>
  <c r="C5"/>
  <c r="C28" i="202"/>
  <c r="C26"/>
  <c r="C24"/>
  <c r="C23"/>
  <c r="C22"/>
  <c r="C21"/>
  <c r="C16"/>
  <c r="C5"/>
  <c r="C28" i="203"/>
  <c r="C26"/>
  <c r="C24"/>
  <c r="C23"/>
  <c r="C22"/>
  <c r="C21"/>
  <c r="C16"/>
  <c r="C5"/>
  <c r="C28" i="204"/>
  <c r="C26"/>
  <c r="C24"/>
  <c r="C23"/>
  <c r="C22"/>
  <c r="C21"/>
  <c r="C16"/>
  <c r="C5"/>
  <c r="C28" i="205"/>
  <c r="C26"/>
  <c r="C24"/>
  <c r="C23"/>
  <c r="C22"/>
  <c r="C21"/>
  <c r="C16"/>
  <c r="C5"/>
  <c r="C28" i="206"/>
  <c r="C26"/>
  <c r="C24"/>
  <c r="C23"/>
  <c r="C22"/>
  <c r="C21"/>
  <c r="C16"/>
  <c r="C5"/>
  <c r="C28" i="207"/>
  <c r="C26"/>
  <c r="C24"/>
  <c r="C23"/>
  <c r="C22"/>
  <c r="C21"/>
  <c r="C16"/>
  <c r="C5"/>
  <c r="C28" i="208"/>
  <c r="C26"/>
  <c r="C24"/>
  <c r="C23"/>
  <c r="C22"/>
  <c r="C21"/>
  <c r="C16"/>
  <c r="C5"/>
  <c r="C28" i="209"/>
  <c r="C26"/>
  <c r="C24"/>
  <c r="C23"/>
  <c r="C22"/>
  <c r="C21"/>
  <c r="C16"/>
  <c r="C5"/>
  <c r="C27" i="210"/>
  <c r="C29"/>
  <c r="C28"/>
  <c r="C26"/>
  <c r="C24"/>
  <c r="C23"/>
  <c r="C22"/>
  <c r="C21"/>
  <c r="C16"/>
  <c r="C5"/>
  <c r="E6" i="178"/>
  <c r="E5" s="1"/>
  <c r="E24" s="1"/>
  <c r="E17"/>
  <c r="E16"/>
  <c r="E15"/>
  <c r="E14"/>
  <c r="E13"/>
  <c r="E12"/>
  <c r="E11"/>
  <c r="E10"/>
  <c r="E9"/>
  <c r="E18"/>
  <c r="E19" s="1"/>
  <c r="E23"/>
  <c r="G18"/>
  <c r="E6" i="184"/>
  <c r="E5"/>
  <c r="E17"/>
  <c r="E16"/>
  <c r="E15"/>
  <c r="E14"/>
  <c r="E13"/>
  <c r="E12"/>
  <c r="E11"/>
  <c r="E10"/>
  <c r="E9"/>
  <c r="E18"/>
  <c r="E19" s="1"/>
  <c r="E23"/>
  <c r="E24"/>
  <c r="G18"/>
  <c r="E6" i="185"/>
  <c r="E5"/>
  <c r="E17"/>
  <c r="E16"/>
  <c r="E15"/>
  <c r="E14"/>
  <c r="E13"/>
  <c r="E12"/>
  <c r="E11"/>
  <c r="E10"/>
  <c r="E9"/>
  <c r="E18"/>
  <c r="E19" s="1"/>
  <c r="E23"/>
  <c r="E24"/>
  <c r="G18"/>
  <c r="E6" i="190"/>
  <c r="E5"/>
  <c r="E17"/>
  <c r="E16"/>
  <c r="E15"/>
  <c r="E14"/>
  <c r="E13"/>
  <c r="E12"/>
  <c r="E11"/>
  <c r="E10"/>
  <c r="E9"/>
  <c r="E18"/>
  <c r="E19" s="1"/>
  <c r="E23"/>
  <c r="E24"/>
  <c r="G18"/>
  <c r="E6" i="188"/>
  <c r="E5"/>
  <c r="E17"/>
  <c r="E16"/>
  <c r="E15"/>
  <c r="E14"/>
  <c r="E13"/>
  <c r="E12"/>
  <c r="E11"/>
  <c r="E10"/>
  <c r="E9"/>
  <c r="E18"/>
  <c r="E19" s="1"/>
  <c r="E23"/>
  <c r="E24"/>
  <c r="G18"/>
  <c r="E6" i="189"/>
  <c r="E5"/>
  <c r="E17"/>
  <c r="E16"/>
  <c r="E15"/>
  <c r="E14"/>
  <c r="E13"/>
  <c r="E12"/>
  <c r="E11"/>
  <c r="E10"/>
  <c r="E9"/>
  <c r="E18"/>
  <c r="E19" s="1"/>
  <c r="E23"/>
  <c r="E24"/>
  <c r="G18"/>
  <c r="E6" i="187"/>
  <c r="E5"/>
  <c r="E17"/>
  <c r="E16"/>
  <c r="E15"/>
  <c r="E14"/>
  <c r="E13"/>
  <c r="E12"/>
  <c r="E11"/>
  <c r="E10"/>
  <c r="E9"/>
  <c r="E18"/>
  <c r="E19" s="1"/>
  <c r="E23"/>
  <c r="E24"/>
  <c r="G18"/>
  <c r="E6" i="186"/>
  <c r="E5"/>
  <c r="E17"/>
  <c r="E16"/>
  <c r="E15"/>
  <c r="E14"/>
  <c r="E13"/>
  <c r="E12"/>
  <c r="E11"/>
  <c r="E10"/>
  <c r="E9"/>
  <c r="E18"/>
  <c r="E19" s="1"/>
  <c r="E23"/>
  <c r="E24"/>
  <c r="G18"/>
  <c r="E6" i="183"/>
  <c r="E5"/>
  <c r="E17"/>
  <c r="E16"/>
  <c r="E15"/>
  <c r="E14"/>
  <c r="E13"/>
  <c r="E12"/>
  <c r="E11"/>
  <c r="E10"/>
  <c r="E9"/>
  <c r="E18"/>
  <c r="E19" s="1"/>
  <c r="E23"/>
  <c r="E24"/>
  <c r="G18"/>
  <c r="E6" i="182"/>
  <c r="E5"/>
  <c r="E17"/>
  <c r="E16"/>
  <c r="E15"/>
  <c r="E14"/>
  <c r="E13"/>
  <c r="E12"/>
  <c r="E11"/>
  <c r="E10"/>
  <c r="E9"/>
  <c r="E18"/>
  <c r="E19" s="1"/>
  <c r="E23"/>
  <c r="E24"/>
  <c r="G18"/>
  <c r="E6" i="181"/>
  <c r="E5"/>
  <c r="E17"/>
  <c r="E16"/>
  <c r="E15"/>
  <c r="E14"/>
  <c r="E13"/>
  <c r="E12"/>
  <c r="E11"/>
  <c r="E10"/>
  <c r="E9"/>
  <c r="E18"/>
  <c r="E19" s="1"/>
  <c r="E23"/>
  <c r="E24"/>
  <c r="G18"/>
  <c r="E6" i="180"/>
  <c r="E5"/>
  <c r="E17"/>
  <c r="E16"/>
  <c r="E15"/>
  <c r="E14"/>
  <c r="E13"/>
  <c r="E12"/>
  <c r="E11"/>
  <c r="E10"/>
  <c r="E9"/>
  <c r="E18"/>
  <c r="E19" s="1"/>
  <c r="E23"/>
  <c r="E24"/>
  <c r="G18"/>
  <c r="E6" i="179"/>
  <c r="E5"/>
  <c r="E17"/>
  <c r="E16"/>
  <c r="E15"/>
  <c r="E14"/>
  <c r="E13"/>
  <c r="E12"/>
  <c r="E11"/>
  <c r="E10"/>
  <c r="E9"/>
  <c r="E18"/>
  <c r="E19" s="1"/>
  <c r="E23"/>
  <c r="E24"/>
  <c r="G18"/>
  <c r="E6" i="173"/>
  <c r="E5"/>
  <c r="E17"/>
  <c r="E16"/>
  <c r="E15"/>
  <c r="E14"/>
  <c r="E13"/>
  <c r="E12"/>
  <c r="E11"/>
  <c r="E10"/>
  <c r="E9"/>
  <c r="E18"/>
  <c r="E19" s="1"/>
  <c r="E23"/>
  <c r="E24"/>
  <c r="G18"/>
  <c r="E6" i="174"/>
  <c r="E5"/>
  <c r="E17"/>
  <c r="E16"/>
  <c r="E15"/>
  <c r="E14"/>
  <c r="E13"/>
  <c r="E12"/>
  <c r="E11"/>
  <c r="E10"/>
  <c r="E9"/>
  <c r="E18"/>
  <c r="E19" s="1"/>
  <c r="E23"/>
  <c r="E24"/>
  <c r="G18"/>
  <c r="E6" i="175"/>
  <c r="E5"/>
  <c r="E17"/>
  <c r="E16"/>
  <c r="E15"/>
  <c r="E14"/>
  <c r="E13"/>
  <c r="E12"/>
  <c r="E11"/>
  <c r="E10"/>
  <c r="E9"/>
  <c r="E18"/>
  <c r="E19" s="1"/>
  <c r="E23"/>
  <c r="E24"/>
  <c r="G18"/>
  <c r="E9" i="176"/>
  <c r="E14"/>
  <c r="E10"/>
  <c r="E17"/>
  <c r="E18" s="1"/>
  <c r="E19" s="1"/>
  <c r="E16"/>
  <c r="E15"/>
  <c r="E13"/>
  <c r="E12"/>
  <c r="E11"/>
  <c r="E6"/>
  <c r="E5" s="1"/>
  <c r="E24" s="1"/>
  <c r="E6" i="53"/>
  <c r="E6" i="54"/>
  <c r="E6" i="55"/>
  <c r="E6" i="56"/>
  <c r="E6" i="57"/>
  <c r="E6" i="36"/>
  <c r="E6" i="37"/>
  <c r="E6" i="38"/>
  <c r="E6" i="39"/>
  <c r="E6" i="40"/>
  <c r="E6" i="41"/>
  <c r="E6" i="43"/>
  <c r="E6" i="44"/>
  <c r="E6" i="45"/>
  <c r="E6" i="46"/>
  <c r="E6" i="47"/>
  <c r="E6" i="48"/>
  <c r="E6" i="49"/>
  <c r="E6" i="50"/>
  <c r="E6" i="16"/>
  <c r="E6" i="32"/>
  <c r="E6" i="33"/>
  <c r="E6" i="34"/>
  <c r="E6" i="35"/>
  <c r="E6" i="109"/>
  <c r="E6" i="19"/>
  <c r="E6" i="66"/>
  <c r="E6" i="18"/>
  <c r="E6" i="17"/>
  <c r="E6" i="126"/>
  <c r="E20"/>
  <c r="E19"/>
  <c r="E18"/>
  <c r="E17"/>
  <c r="E16"/>
  <c r="E15"/>
  <c r="E14"/>
  <c r="E12"/>
  <c r="E11"/>
  <c r="E10"/>
  <c r="E7"/>
  <c r="E26" s="1"/>
  <c r="E21"/>
  <c r="E22" s="1"/>
  <c r="G21"/>
  <c r="E18" i="147"/>
  <c r="E19" s="1"/>
  <c r="E20" s="1"/>
  <c r="E17"/>
  <c r="E16"/>
  <c r="E15"/>
  <c r="E14"/>
  <c r="E13"/>
  <c r="E12"/>
  <c r="E10"/>
  <c r="E7"/>
  <c r="E6"/>
  <c r="E24"/>
  <c r="G19"/>
  <c r="E5"/>
  <c r="E23" i="176"/>
  <c r="G18"/>
  <c r="C33" i="159"/>
  <c r="C32"/>
  <c r="C31"/>
  <c r="C30"/>
  <c r="C29"/>
  <c r="C28"/>
  <c r="C26"/>
  <c r="C25"/>
  <c r="C24"/>
  <c r="C23"/>
  <c r="C22"/>
  <c r="C20"/>
  <c r="C19"/>
  <c r="C18"/>
  <c r="C17"/>
  <c r="C16"/>
  <c r="C15"/>
  <c r="C14"/>
  <c r="C13"/>
  <c r="C12"/>
  <c r="C11"/>
  <c r="C10"/>
  <c r="C9"/>
  <c r="C8"/>
  <c r="C5"/>
  <c r="C14" i="177"/>
  <c r="C13"/>
  <c r="C12"/>
  <c r="C11"/>
  <c r="C10"/>
  <c r="C9"/>
  <c r="C8"/>
  <c r="C5"/>
  <c r="C15"/>
  <c r="C16"/>
  <c r="C17"/>
  <c r="C18"/>
  <c r="C19"/>
  <c r="C20"/>
  <c r="C22"/>
  <c r="C23"/>
  <c r="C24"/>
  <c r="C25"/>
  <c r="C26"/>
  <c r="C28"/>
  <c r="C29"/>
  <c r="C30"/>
  <c r="C31"/>
  <c r="C32"/>
  <c r="E26" i="66"/>
  <c r="E26" i="19"/>
  <c r="E26" i="109"/>
  <c r="E26" i="20"/>
  <c r="E26" i="24"/>
  <c r="E26" i="25"/>
  <c r="E26" i="26"/>
  <c r="E26" i="65"/>
  <c r="E26" i="27"/>
  <c r="E26" i="28"/>
  <c r="E26" i="29"/>
  <c r="E26" i="15"/>
  <c r="E26" i="4"/>
  <c r="E26" i="6"/>
  <c r="E7" i="9"/>
  <c r="E25"/>
  <c r="D36" i="160"/>
  <c r="D37" s="1"/>
  <c r="C10"/>
  <c r="C11"/>
  <c r="C12"/>
  <c r="C13"/>
  <c r="C14"/>
  <c r="C15"/>
  <c r="C16"/>
  <c r="C17"/>
  <c r="C18"/>
  <c r="C19"/>
  <c r="C20"/>
  <c r="C21"/>
  <c r="C22"/>
  <c r="C24"/>
  <c r="C25"/>
  <c r="C26"/>
  <c r="C27"/>
  <c r="C28"/>
  <c r="C30"/>
  <c r="C31"/>
  <c r="C32"/>
  <c r="C33"/>
  <c r="C34"/>
  <c r="C36" s="1"/>
  <c r="C37" s="1"/>
  <c r="C35"/>
  <c r="C5"/>
  <c r="C7"/>
  <c r="D36" i="164"/>
  <c r="D37" s="1"/>
  <c r="C10"/>
  <c r="C11"/>
  <c r="C12"/>
  <c r="C13"/>
  <c r="C14"/>
  <c r="C15"/>
  <c r="C16"/>
  <c r="C17"/>
  <c r="C18"/>
  <c r="C19"/>
  <c r="C20"/>
  <c r="C21"/>
  <c r="C22"/>
  <c r="C24"/>
  <c r="C25"/>
  <c r="C26"/>
  <c r="C27"/>
  <c r="C28"/>
  <c r="C30"/>
  <c r="C31"/>
  <c r="C32"/>
  <c r="C33"/>
  <c r="C34"/>
  <c r="C35"/>
  <c r="C5"/>
  <c r="C36"/>
  <c r="C37" s="1"/>
  <c r="C7"/>
  <c r="D36" i="165"/>
  <c r="D37" s="1"/>
  <c r="C10"/>
  <c r="C11"/>
  <c r="C12"/>
  <c r="C13"/>
  <c r="C14"/>
  <c r="C15"/>
  <c r="C16"/>
  <c r="C17"/>
  <c r="C18"/>
  <c r="C19"/>
  <c r="C20"/>
  <c r="C21"/>
  <c r="C22"/>
  <c r="C24"/>
  <c r="C25"/>
  <c r="C26"/>
  <c r="C27"/>
  <c r="C28"/>
  <c r="C30"/>
  <c r="C31"/>
  <c r="C32"/>
  <c r="C33"/>
  <c r="C34"/>
  <c r="C35"/>
  <c r="C5"/>
  <c r="C36"/>
  <c r="C37"/>
  <c r="C7"/>
  <c r="D36" i="166"/>
  <c r="D37" s="1"/>
  <c r="C10"/>
  <c r="C11"/>
  <c r="C12"/>
  <c r="C13"/>
  <c r="C14"/>
  <c r="C15"/>
  <c r="C16"/>
  <c r="C17"/>
  <c r="C18"/>
  <c r="C19"/>
  <c r="C20"/>
  <c r="C21"/>
  <c r="C22"/>
  <c r="C24"/>
  <c r="C25"/>
  <c r="C26"/>
  <c r="C27"/>
  <c r="C28"/>
  <c r="C30"/>
  <c r="C31"/>
  <c r="C32"/>
  <c r="C33"/>
  <c r="C34"/>
  <c r="C35"/>
  <c r="C5"/>
  <c r="C36"/>
  <c r="C37" s="1"/>
  <c r="C7"/>
  <c r="D36" i="167"/>
  <c r="D37"/>
  <c r="C10"/>
  <c r="C11"/>
  <c r="C12"/>
  <c r="C13"/>
  <c r="C14"/>
  <c r="C15"/>
  <c r="C16"/>
  <c r="C17"/>
  <c r="C18"/>
  <c r="C19"/>
  <c r="C20"/>
  <c r="C21"/>
  <c r="C22"/>
  <c r="C24"/>
  <c r="C25"/>
  <c r="C26"/>
  <c r="C27"/>
  <c r="C28"/>
  <c r="C30"/>
  <c r="C31"/>
  <c r="C32"/>
  <c r="C33"/>
  <c r="C34"/>
  <c r="C35"/>
  <c r="C5"/>
  <c r="C36"/>
  <c r="C37" s="1"/>
  <c r="C7"/>
  <c r="D36" i="168"/>
  <c r="D37"/>
  <c r="C10"/>
  <c r="C11"/>
  <c r="C12"/>
  <c r="C13"/>
  <c r="C14"/>
  <c r="C15"/>
  <c r="C16"/>
  <c r="C17"/>
  <c r="C18"/>
  <c r="C19"/>
  <c r="C20"/>
  <c r="C21"/>
  <c r="C22"/>
  <c r="C24"/>
  <c r="C25"/>
  <c r="C26"/>
  <c r="C27"/>
  <c r="C28"/>
  <c r="C30"/>
  <c r="C31"/>
  <c r="C32"/>
  <c r="C33"/>
  <c r="C34"/>
  <c r="C35"/>
  <c r="C5"/>
  <c r="C36"/>
  <c r="C37"/>
  <c r="C7"/>
  <c r="D36" i="169"/>
  <c r="D37" s="1"/>
  <c r="C10"/>
  <c r="C11"/>
  <c r="C12"/>
  <c r="C13"/>
  <c r="C14"/>
  <c r="C15"/>
  <c r="C16"/>
  <c r="C17"/>
  <c r="C18"/>
  <c r="C19"/>
  <c r="C20"/>
  <c r="C21"/>
  <c r="C22"/>
  <c r="C24"/>
  <c r="C25"/>
  <c r="C26"/>
  <c r="C27"/>
  <c r="C28"/>
  <c r="C30"/>
  <c r="C31"/>
  <c r="C32"/>
  <c r="C33"/>
  <c r="C34"/>
  <c r="C35"/>
  <c r="C5"/>
  <c r="C36"/>
  <c r="C37"/>
  <c r="C7"/>
  <c r="D36" i="161"/>
  <c r="D37" s="1"/>
  <c r="C10"/>
  <c r="C11"/>
  <c r="C12"/>
  <c r="C13"/>
  <c r="C14"/>
  <c r="C15"/>
  <c r="C16"/>
  <c r="C17"/>
  <c r="C18"/>
  <c r="C19"/>
  <c r="C20"/>
  <c r="C21"/>
  <c r="C22"/>
  <c r="C24"/>
  <c r="C25"/>
  <c r="C26"/>
  <c r="C27"/>
  <c r="C28"/>
  <c r="C30"/>
  <c r="C31"/>
  <c r="C32"/>
  <c r="C33"/>
  <c r="C34"/>
  <c r="C35"/>
  <c r="C5"/>
  <c r="C36"/>
  <c r="C37"/>
  <c r="C7"/>
  <c r="D36" i="162"/>
  <c r="D37" s="1"/>
  <c r="C10"/>
  <c r="C11"/>
  <c r="C12"/>
  <c r="C13"/>
  <c r="C14"/>
  <c r="C15"/>
  <c r="C16"/>
  <c r="C17"/>
  <c r="C18"/>
  <c r="C19"/>
  <c r="C20"/>
  <c r="C21"/>
  <c r="C22"/>
  <c r="C24"/>
  <c r="C25"/>
  <c r="C26"/>
  <c r="C27"/>
  <c r="C28"/>
  <c r="C30"/>
  <c r="C31"/>
  <c r="C32"/>
  <c r="C33"/>
  <c r="C34"/>
  <c r="C35"/>
  <c r="C5"/>
  <c r="C36"/>
  <c r="C37"/>
  <c r="C7"/>
  <c r="C10" i="163"/>
  <c r="C11"/>
  <c r="C12"/>
  <c r="C13"/>
  <c r="C14"/>
  <c r="C15"/>
  <c r="C16"/>
  <c r="C17"/>
  <c r="C18"/>
  <c r="C19"/>
  <c r="C20"/>
  <c r="C21"/>
  <c r="C22"/>
  <c r="C24"/>
  <c r="C25"/>
  <c r="C26"/>
  <c r="C27"/>
  <c r="C28"/>
  <c r="C30"/>
  <c r="C31"/>
  <c r="C32"/>
  <c r="C33"/>
  <c r="C34"/>
  <c r="C35"/>
  <c r="C5"/>
  <c r="C7"/>
  <c r="C36"/>
  <c r="D36"/>
  <c r="C37"/>
  <c r="D37"/>
  <c r="C4" i="159"/>
  <c r="C34"/>
  <c r="C35" s="1"/>
  <c r="C4" i="177"/>
  <c r="C33"/>
  <c r="C34" s="1"/>
  <c r="C35" s="1"/>
  <c r="E7" i="148"/>
  <c r="E24" s="1"/>
  <c r="E7" i="149"/>
  <c r="E24"/>
  <c r="E7" i="150"/>
  <c r="E24"/>
  <c r="E7" i="151"/>
  <c r="E24"/>
  <c r="E7" i="152"/>
  <c r="E24"/>
  <c r="E7" i="153"/>
  <c r="E24"/>
  <c r="E7" i="136"/>
  <c r="E24"/>
  <c r="E7" i="137"/>
  <c r="E24"/>
  <c r="E7" i="138"/>
  <c r="E24"/>
  <c r="E7" i="139"/>
  <c r="E24"/>
  <c r="E7" i="140"/>
  <c r="E24"/>
  <c r="E7" i="141"/>
  <c r="E24"/>
  <c r="E7" i="142"/>
  <c r="E24"/>
  <c r="E7" i="128"/>
  <c r="E24"/>
  <c r="E7" i="129"/>
  <c r="E24"/>
  <c r="E7" i="130"/>
  <c r="E24"/>
  <c r="E7" i="131"/>
  <c r="E24"/>
  <c r="E7" i="133"/>
  <c r="E24"/>
  <c r="E7" i="134"/>
  <c r="E24"/>
  <c r="E7" i="53"/>
  <c r="E26"/>
  <c r="E7" i="54"/>
  <c r="E26"/>
  <c r="E7" i="55"/>
  <c r="E26"/>
  <c r="E7" i="37"/>
  <c r="E26"/>
  <c r="E7" i="127"/>
  <c r="E24"/>
  <c r="E7" i="56"/>
  <c r="E26"/>
  <c r="E7" i="57"/>
  <c r="E26"/>
  <c r="E7" i="36"/>
  <c r="E26"/>
  <c r="E7" i="38"/>
  <c r="E26"/>
  <c r="E7" i="39"/>
  <c r="E26"/>
  <c r="E7" i="40"/>
  <c r="E26"/>
  <c r="E7" i="41"/>
  <c r="E26"/>
  <c r="E7" i="43"/>
  <c r="E26"/>
  <c r="E7" i="35"/>
  <c r="E26"/>
  <c r="E7" i="119"/>
  <c r="E24"/>
  <c r="E7" i="120"/>
  <c r="E24"/>
  <c r="E7" i="122"/>
  <c r="E24"/>
  <c r="E7" i="123"/>
  <c r="E24"/>
  <c r="E7" i="125"/>
  <c r="E24"/>
  <c r="E7" i="65"/>
  <c r="E27"/>
  <c r="E7" i="28"/>
  <c r="E27"/>
  <c r="G19" i="156"/>
  <c r="E18"/>
  <c r="E19" s="1"/>
  <c r="E20" s="1"/>
  <c r="E17"/>
  <c r="E16"/>
  <c r="E15"/>
  <c r="E14"/>
  <c r="E13"/>
  <c r="E12"/>
  <c r="E10"/>
  <c r="E7"/>
  <c r="E24"/>
  <c r="E6"/>
  <c r="E5"/>
  <c r="E20" i="53"/>
  <c r="E19"/>
  <c r="E18"/>
  <c r="E17"/>
  <c r="E16"/>
  <c r="E15"/>
  <c r="E14"/>
  <c r="E12"/>
  <c r="E11"/>
  <c r="E10"/>
  <c r="E20" i="54"/>
  <c r="E19"/>
  <c r="E18"/>
  <c r="E17"/>
  <c r="E16"/>
  <c r="E15"/>
  <c r="E14"/>
  <c r="E12"/>
  <c r="E11"/>
  <c r="E10"/>
  <c r="E20" i="55"/>
  <c r="E19"/>
  <c r="E18"/>
  <c r="E17"/>
  <c r="E16"/>
  <c r="E15"/>
  <c r="E14"/>
  <c r="E12"/>
  <c r="E11"/>
  <c r="E10"/>
  <c r="E20" i="56"/>
  <c r="E19"/>
  <c r="E18"/>
  <c r="E17"/>
  <c r="E16"/>
  <c r="E15"/>
  <c r="E14"/>
  <c r="E12"/>
  <c r="E11"/>
  <c r="E10"/>
  <c r="E20" i="57"/>
  <c r="E19"/>
  <c r="E18"/>
  <c r="E17"/>
  <c r="E16"/>
  <c r="E15"/>
  <c r="E14"/>
  <c r="E12"/>
  <c r="E11"/>
  <c r="E10"/>
  <c r="E20" i="36"/>
  <c r="E19"/>
  <c r="E18"/>
  <c r="E17"/>
  <c r="E16"/>
  <c r="E15"/>
  <c r="E14"/>
  <c r="E12"/>
  <c r="E11"/>
  <c r="E10"/>
  <c r="E20" i="37"/>
  <c r="E19"/>
  <c r="E18"/>
  <c r="E17"/>
  <c r="E16"/>
  <c r="E15"/>
  <c r="E14"/>
  <c r="E12"/>
  <c r="E11"/>
  <c r="E10"/>
  <c r="E20" i="38"/>
  <c r="E19"/>
  <c r="E18"/>
  <c r="E17"/>
  <c r="E16"/>
  <c r="E15"/>
  <c r="E14"/>
  <c r="E12"/>
  <c r="E11"/>
  <c r="E10"/>
  <c r="E20" i="39"/>
  <c r="E19"/>
  <c r="E18"/>
  <c r="E17"/>
  <c r="E16"/>
  <c r="E15"/>
  <c r="E14"/>
  <c r="E12"/>
  <c r="E11"/>
  <c r="E10"/>
  <c r="E20" i="40"/>
  <c r="E19"/>
  <c r="E18"/>
  <c r="E17"/>
  <c r="E16"/>
  <c r="E15"/>
  <c r="E14"/>
  <c r="E12"/>
  <c r="E11"/>
  <c r="E10"/>
  <c r="E20" i="41"/>
  <c r="E19"/>
  <c r="E18"/>
  <c r="E17"/>
  <c r="E16"/>
  <c r="E15"/>
  <c r="E14"/>
  <c r="E12"/>
  <c r="E11"/>
  <c r="E10"/>
  <c r="E20" i="43"/>
  <c r="E19"/>
  <c r="E18"/>
  <c r="E17"/>
  <c r="E16"/>
  <c r="E15"/>
  <c r="E14"/>
  <c r="E12"/>
  <c r="E11"/>
  <c r="E10"/>
  <c r="E20" i="44"/>
  <c r="E19"/>
  <c r="E18"/>
  <c r="E17"/>
  <c r="E16"/>
  <c r="E15"/>
  <c r="E14"/>
  <c r="E12"/>
  <c r="E11"/>
  <c r="E10"/>
  <c r="E7"/>
  <c r="E26"/>
  <c r="E20" i="45"/>
  <c r="E19"/>
  <c r="E18"/>
  <c r="E17"/>
  <c r="E16"/>
  <c r="E15"/>
  <c r="E14"/>
  <c r="E12"/>
  <c r="E11"/>
  <c r="E10"/>
  <c r="E7"/>
  <c r="E26"/>
  <c r="E20" i="46"/>
  <c r="E19"/>
  <c r="E18"/>
  <c r="E17"/>
  <c r="E16"/>
  <c r="E15"/>
  <c r="E14"/>
  <c r="E12"/>
  <c r="E11"/>
  <c r="E10"/>
  <c r="E7"/>
  <c r="E26"/>
  <c r="E19" i="47"/>
  <c r="E20"/>
  <c r="E18"/>
  <c r="E17"/>
  <c r="E16"/>
  <c r="E15"/>
  <c r="E14"/>
  <c r="E12"/>
  <c r="E11"/>
  <c r="E10"/>
  <c r="E7"/>
  <c r="E26"/>
  <c r="E20" i="48"/>
  <c r="E19"/>
  <c r="E18"/>
  <c r="E17"/>
  <c r="E16"/>
  <c r="E15"/>
  <c r="E14"/>
  <c r="E12"/>
  <c r="E11"/>
  <c r="E10"/>
  <c r="E7"/>
  <c r="E26"/>
  <c r="E20" i="49"/>
  <c r="E19"/>
  <c r="E18"/>
  <c r="E17"/>
  <c r="E16"/>
  <c r="E15"/>
  <c r="E14"/>
  <c r="E12"/>
  <c r="E11"/>
  <c r="E10"/>
  <c r="E7"/>
  <c r="E26" s="1"/>
  <c r="E20" i="50"/>
  <c r="E19"/>
  <c r="E18"/>
  <c r="E17"/>
  <c r="E16"/>
  <c r="E15"/>
  <c r="E14"/>
  <c r="E12"/>
  <c r="E11"/>
  <c r="E10"/>
  <c r="E7"/>
  <c r="E26" s="1"/>
  <c r="E18" i="16"/>
  <c r="E20"/>
  <c r="E19"/>
  <c r="E17"/>
  <c r="E16"/>
  <c r="E15"/>
  <c r="E14"/>
  <c r="E12"/>
  <c r="E11"/>
  <c r="E10"/>
  <c r="E7"/>
  <c r="E26" s="1"/>
  <c r="E20" i="32"/>
  <c r="E19"/>
  <c r="E18"/>
  <c r="E17"/>
  <c r="E16"/>
  <c r="E15"/>
  <c r="E14"/>
  <c r="E12"/>
  <c r="E11"/>
  <c r="E10"/>
  <c r="E7"/>
  <c r="E26" s="1"/>
  <c r="E16" i="33"/>
  <c r="E18"/>
  <c r="E20"/>
  <c r="E19"/>
  <c r="E17"/>
  <c r="E15"/>
  <c r="E14"/>
  <c r="E12"/>
  <c r="E11"/>
  <c r="E10"/>
  <c r="E7"/>
  <c r="E26" s="1"/>
  <c r="E20" i="34"/>
  <c r="E19"/>
  <c r="E18"/>
  <c r="E17"/>
  <c r="E16"/>
  <c r="E15"/>
  <c r="E14"/>
  <c r="E12"/>
  <c r="E11"/>
  <c r="E10"/>
  <c r="E7"/>
  <c r="E26" s="1"/>
  <c r="E20" i="35"/>
  <c r="E19"/>
  <c r="E18"/>
  <c r="E17"/>
  <c r="E16"/>
  <c r="E15"/>
  <c r="E14"/>
  <c r="E12"/>
  <c r="E11"/>
  <c r="E10"/>
  <c r="E20" i="17"/>
  <c r="E19"/>
  <c r="E18"/>
  <c r="E17"/>
  <c r="E16"/>
  <c r="E15"/>
  <c r="E14"/>
  <c r="E12"/>
  <c r="E11"/>
  <c r="E10"/>
  <c r="E7"/>
  <c r="E26" s="1"/>
  <c r="E14" i="18"/>
  <c r="E20"/>
  <c r="E19"/>
  <c r="E18"/>
  <c r="E17"/>
  <c r="E16"/>
  <c r="E15"/>
  <c r="E12"/>
  <c r="E11"/>
  <c r="E10"/>
  <c r="E7"/>
  <c r="E26" s="1"/>
  <c r="E20" i="66"/>
  <c r="E19"/>
  <c r="E18"/>
  <c r="E17"/>
  <c r="E16"/>
  <c r="E15"/>
  <c r="E14"/>
  <c r="E12"/>
  <c r="E11"/>
  <c r="E10"/>
  <c r="E7"/>
  <c r="E27" s="1"/>
  <c r="E20" i="19"/>
  <c r="E19"/>
  <c r="E18"/>
  <c r="E17"/>
  <c r="E16"/>
  <c r="E15"/>
  <c r="E14"/>
  <c r="E12"/>
  <c r="E11"/>
  <c r="E10"/>
  <c r="E7"/>
  <c r="E27" s="1"/>
  <c r="E20" i="109"/>
  <c r="E19"/>
  <c r="E18"/>
  <c r="E17"/>
  <c r="E16"/>
  <c r="E15"/>
  <c r="E14"/>
  <c r="E12"/>
  <c r="E11"/>
  <c r="E10"/>
  <c r="E7"/>
  <c r="E27" s="1"/>
  <c r="E20" i="20"/>
  <c r="E19"/>
  <c r="E18"/>
  <c r="E17"/>
  <c r="E16"/>
  <c r="E15"/>
  <c r="E14"/>
  <c r="E12"/>
  <c r="E11"/>
  <c r="E10"/>
  <c r="E7"/>
  <c r="E27" s="1"/>
  <c r="E6"/>
  <c r="E20" i="21"/>
  <c r="E19"/>
  <c r="E18"/>
  <c r="E17"/>
  <c r="E16"/>
  <c r="E15"/>
  <c r="E14"/>
  <c r="E12"/>
  <c r="E11"/>
  <c r="E10"/>
  <c r="E7"/>
  <c r="E26"/>
  <c r="E6"/>
  <c r="E20" i="22"/>
  <c r="E19"/>
  <c r="E18"/>
  <c r="E17"/>
  <c r="E16"/>
  <c r="E15"/>
  <c r="E14"/>
  <c r="E12"/>
  <c r="E11"/>
  <c r="E10"/>
  <c r="E7"/>
  <c r="E26" s="1"/>
  <c r="E6"/>
  <c r="E20" i="23"/>
  <c r="E19"/>
  <c r="E18"/>
  <c r="E17"/>
  <c r="E16"/>
  <c r="E15"/>
  <c r="E14"/>
  <c r="E12"/>
  <c r="E11"/>
  <c r="E10"/>
  <c r="E7"/>
  <c r="E26"/>
  <c r="E6"/>
  <c r="E20" i="24"/>
  <c r="E19"/>
  <c r="E18"/>
  <c r="E17"/>
  <c r="E16"/>
  <c r="E15"/>
  <c r="E14"/>
  <c r="E12"/>
  <c r="E11"/>
  <c r="E10"/>
  <c r="E7"/>
  <c r="E27" s="1"/>
  <c r="E6"/>
  <c r="E20" i="25"/>
  <c r="E19"/>
  <c r="E18"/>
  <c r="E17"/>
  <c r="E16"/>
  <c r="E15"/>
  <c r="E14"/>
  <c r="E12"/>
  <c r="E11"/>
  <c r="E10"/>
  <c r="E7"/>
  <c r="E27"/>
  <c r="E6"/>
  <c r="E20" i="26"/>
  <c r="E19"/>
  <c r="E18"/>
  <c r="E17"/>
  <c r="E16"/>
  <c r="E15"/>
  <c r="E14"/>
  <c r="E12"/>
  <c r="E11"/>
  <c r="E10"/>
  <c r="E7"/>
  <c r="E27" s="1"/>
  <c r="E6"/>
  <c r="E20" i="65"/>
  <c r="E19"/>
  <c r="E18"/>
  <c r="E17"/>
  <c r="E16"/>
  <c r="E15"/>
  <c r="E14"/>
  <c r="E12"/>
  <c r="E11"/>
  <c r="E10"/>
  <c r="E6"/>
  <c r="E20" i="27"/>
  <c r="E19"/>
  <c r="E18"/>
  <c r="E17"/>
  <c r="E16"/>
  <c r="E15"/>
  <c r="E14"/>
  <c r="E12"/>
  <c r="E11"/>
  <c r="E10"/>
  <c r="E7"/>
  <c r="E27" s="1"/>
  <c r="E6"/>
  <c r="E20" i="28"/>
  <c r="E19"/>
  <c r="E18"/>
  <c r="E17"/>
  <c r="E16"/>
  <c r="E15"/>
  <c r="E14"/>
  <c r="E12"/>
  <c r="E11"/>
  <c r="E10"/>
  <c r="E6"/>
  <c r="E20" i="29"/>
  <c r="E19"/>
  <c r="E18"/>
  <c r="E17"/>
  <c r="E16"/>
  <c r="E15"/>
  <c r="E14"/>
  <c r="E12"/>
  <c r="E11"/>
  <c r="E10"/>
  <c r="E20" i="30"/>
  <c r="E19"/>
  <c r="E18"/>
  <c r="E17"/>
  <c r="E16"/>
  <c r="E15"/>
  <c r="E14"/>
  <c r="E12"/>
  <c r="E11"/>
  <c r="E10"/>
  <c r="E7"/>
  <c r="E26" s="1"/>
  <c r="E6"/>
  <c r="E20" i="31"/>
  <c r="E19"/>
  <c r="E18"/>
  <c r="E17"/>
  <c r="E16"/>
  <c r="E15"/>
  <c r="E14"/>
  <c r="E12"/>
  <c r="E11"/>
  <c r="E10"/>
  <c r="E7"/>
  <c r="E26"/>
  <c r="E6"/>
  <c r="E20" i="12"/>
  <c r="E19"/>
  <c r="E18"/>
  <c r="E17"/>
  <c r="E16"/>
  <c r="E15"/>
  <c r="E14"/>
  <c r="E12"/>
  <c r="E11"/>
  <c r="E10"/>
  <c r="E7"/>
  <c r="E26" s="1"/>
  <c r="E6"/>
  <c r="E20" i="13"/>
  <c r="E19"/>
  <c r="E18"/>
  <c r="E17"/>
  <c r="E16"/>
  <c r="E15"/>
  <c r="E14"/>
  <c r="E12"/>
  <c r="E11"/>
  <c r="E10"/>
  <c r="E7"/>
  <c r="E26"/>
  <c r="E6"/>
  <c r="E20" i="14"/>
  <c r="E19"/>
  <c r="E18"/>
  <c r="E17"/>
  <c r="E16"/>
  <c r="E15"/>
  <c r="E14"/>
  <c r="E12"/>
  <c r="E11"/>
  <c r="E10"/>
  <c r="E7"/>
  <c r="E26" s="1"/>
  <c r="E6"/>
  <c r="E20" i="15"/>
  <c r="E19"/>
  <c r="E18"/>
  <c r="E17"/>
  <c r="E16"/>
  <c r="E15"/>
  <c r="E14"/>
  <c r="E12"/>
  <c r="E11"/>
  <c r="E10"/>
  <c r="E7"/>
  <c r="E27"/>
  <c r="E6"/>
  <c r="E20" i="10"/>
  <c r="E19"/>
  <c r="E18"/>
  <c r="E17"/>
  <c r="E16"/>
  <c r="E15"/>
  <c r="E14"/>
  <c r="E12"/>
  <c r="E11"/>
  <c r="E10"/>
  <c r="E7"/>
  <c r="E26" s="1"/>
  <c r="E6"/>
  <c r="E20" i="4"/>
  <c r="E19"/>
  <c r="E18"/>
  <c r="E17"/>
  <c r="E16"/>
  <c r="E15"/>
  <c r="E14"/>
  <c r="E12"/>
  <c r="E11"/>
  <c r="E10"/>
  <c r="E7"/>
  <c r="E27"/>
  <c r="E6"/>
  <c r="E20" i="5"/>
  <c r="E19"/>
  <c r="E18"/>
  <c r="E17"/>
  <c r="E16"/>
  <c r="E15"/>
  <c r="E14"/>
  <c r="E12"/>
  <c r="E11"/>
  <c r="E10"/>
  <c r="E7"/>
  <c r="E26" s="1"/>
  <c r="E6"/>
  <c r="E20" i="6"/>
  <c r="E19"/>
  <c r="E18"/>
  <c r="E17"/>
  <c r="E16"/>
  <c r="E15"/>
  <c r="E14"/>
  <c r="E12"/>
  <c r="E11"/>
  <c r="E10"/>
  <c r="E7"/>
  <c r="E27"/>
  <c r="E6"/>
  <c r="E20" i="7"/>
  <c r="E19"/>
  <c r="E18"/>
  <c r="E17"/>
  <c r="E16"/>
  <c r="E15"/>
  <c r="E14"/>
  <c r="E12"/>
  <c r="E11"/>
  <c r="E10"/>
  <c r="E7"/>
  <c r="E25" s="1"/>
  <c r="E6"/>
  <c r="E20" i="8"/>
  <c r="E19"/>
  <c r="E18"/>
  <c r="E17"/>
  <c r="E16"/>
  <c r="E15"/>
  <c r="E14"/>
  <c r="E12"/>
  <c r="E11"/>
  <c r="E10"/>
  <c r="E7"/>
  <c r="E25" s="1"/>
  <c r="E6"/>
  <c r="E20" i="9"/>
  <c r="E19"/>
  <c r="E18"/>
  <c r="E17"/>
  <c r="E16"/>
  <c r="E15"/>
  <c r="E14"/>
  <c r="E12"/>
  <c r="E11"/>
  <c r="E10"/>
  <c r="E6"/>
  <c r="E20" i="1"/>
  <c r="E19"/>
  <c r="E18"/>
  <c r="E17"/>
  <c r="E16"/>
  <c r="E15"/>
  <c r="E14"/>
  <c r="E12"/>
  <c r="E11"/>
  <c r="E10"/>
  <c r="E7"/>
  <c r="E25" s="1"/>
  <c r="E6"/>
  <c r="E20" i="11"/>
  <c r="E19"/>
  <c r="E18"/>
  <c r="E17"/>
  <c r="E16"/>
  <c r="E15"/>
  <c r="E14"/>
  <c r="E12"/>
  <c r="E11"/>
  <c r="E10"/>
  <c r="E7"/>
  <c r="E26" s="1"/>
  <c r="E6"/>
  <c r="E18" i="139"/>
  <c r="E17"/>
  <c r="E16"/>
  <c r="E15"/>
  <c r="E14"/>
  <c r="E13"/>
  <c r="E12"/>
  <c r="E10"/>
  <c r="E6"/>
  <c r="E18" i="138"/>
  <c r="E17"/>
  <c r="E16"/>
  <c r="E15"/>
  <c r="E14"/>
  <c r="E13"/>
  <c r="E12"/>
  <c r="E10"/>
  <c r="E6"/>
  <c r="E18" i="137"/>
  <c r="E17"/>
  <c r="E16"/>
  <c r="E15"/>
  <c r="E14"/>
  <c r="E13"/>
  <c r="E12"/>
  <c r="E10"/>
  <c r="E6"/>
  <c r="E18" i="136"/>
  <c r="E17"/>
  <c r="E16"/>
  <c r="E15"/>
  <c r="E14"/>
  <c r="E13"/>
  <c r="E12"/>
  <c r="E10"/>
  <c r="E6"/>
  <c r="E18" i="153"/>
  <c r="E17"/>
  <c r="E16"/>
  <c r="E15"/>
  <c r="E14"/>
  <c r="E13"/>
  <c r="E12"/>
  <c r="E10"/>
  <c r="E6"/>
  <c r="E18" i="152"/>
  <c r="E17"/>
  <c r="E16"/>
  <c r="E15"/>
  <c r="E14"/>
  <c r="E13"/>
  <c r="E12"/>
  <c r="E10"/>
  <c r="E6"/>
  <c r="E18" i="151"/>
  <c r="E17"/>
  <c r="E16"/>
  <c r="E15"/>
  <c r="E14"/>
  <c r="E13"/>
  <c r="E12"/>
  <c r="E10"/>
  <c r="E6"/>
  <c r="E18" i="150"/>
  <c r="E17"/>
  <c r="E16"/>
  <c r="E15"/>
  <c r="E14"/>
  <c r="E13"/>
  <c r="E12"/>
  <c r="E10"/>
  <c r="E6"/>
  <c r="E18" i="149"/>
  <c r="E17"/>
  <c r="E16"/>
  <c r="E15"/>
  <c r="E14"/>
  <c r="E13"/>
  <c r="E12"/>
  <c r="E10"/>
  <c r="E6"/>
  <c r="E18" i="148"/>
  <c r="E17"/>
  <c r="E16"/>
  <c r="E15"/>
  <c r="E14"/>
  <c r="E13"/>
  <c r="E12"/>
  <c r="E10"/>
  <c r="E6"/>
  <c r="E18" i="146"/>
  <c r="E17"/>
  <c r="E16"/>
  <c r="E15"/>
  <c r="E14"/>
  <c r="E13"/>
  <c r="E12"/>
  <c r="E10"/>
  <c r="E7"/>
  <c r="E23" s="1"/>
  <c r="E6"/>
  <c r="E18" i="145"/>
  <c r="E17"/>
  <c r="E16"/>
  <c r="E15"/>
  <c r="E14"/>
  <c r="E13"/>
  <c r="E12"/>
  <c r="E10"/>
  <c r="E7"/>
  <c r="E24"/>
  <c r="E6"/>
  <c r="E18" i="144"/>
  <c r="E17"/>
  <c r="E16"/>
  <c r="E15"/>
  <c r="E14"/>
  <c r="E13"/>
  <c r="E12"/>
  <c r="E10"/>
  <c r="E7"/>
  <c r="E24" s="1"/>
  <c r="E6"/>
  <c r="E18" i="143"/>
  <c r="E17"/>
  <c r="E16"/>
  <c r="E15"/>
  <c r="E14"/>
  <c r="E13"/>
  <c r="E12"/>
  <c r="E10"/>
  <c r="E7"/>
  <c r="E24"/>
  <c r="E6"/>
  <c r="E18" i="155"/>
  <c r="E17"/>
  <c r="E16"/>
  <c r="E15"/>
  <c r="E14"/>
  <c r="E13"/>
  <c r="E12"/>
  <c r="E10"/>
  <c r="E7"/>
  <c r="E24" s="1"/>
  <c r="E6"/>
  <c r="E18" i="154"/>
  <c r="E17"/>
  <c r="E16"/>
  <c r="E15"/>
  <c r="E14"/>
  <c r="E13"/>
  <c r="E12"/>
  <c r="E10"/>
  <c r="E7"/>
  <c r="E24"/>
  <c r="E6"/>
  <c r="G19" i="146"/>
  <c r="E19"/>
  <c r="G19" i="148"/>
  <c r="E19"/>
  <c r="E5"/>
  <c r="G19" i="149"/>
  <c r="E19"/>
  <c r="E20" s="1"/>
  <c r="E5"/>
  <c r="G19" i="150"/>
  <c r="E19"/>
  <c r="E20" s="1"/>
  <c r="E5"/>
  <c r="G19" i="151"/>
  <c r="E19"/>
  <c r="E20" s="1"/>
  <c r="E5"/>
  <c r="G19" i="152"/>
  <c r="E19"/>
  <c r="E5"/>
  <c r="G19" i="153"/>
  <c r="E19"/>
  <c r="E5"/>
  <c r="G19" i="136"/>
  <c r="E19"/>
  <c r="E20" s="1"/>
  <c r="E5"/>
  <c r="G19" i="137"/>
  <c r="G19" i="139"/>
  <c r="E19"/>
  <c r="E5"/>
  <c r="E18" i="140"/>
  <c r="E17"/>
  <c r="E16"/>
  <c r="E15"/>
  <c r="E14"/>
  <c r="E13"/>
  <c r="E12"/>
  <c r="E10"/>
  <c r="E6"/>
  <c r="E18" i="141"/>
  <c r="E17"/>
  <c r="E16"/>
  <c r="E15"/>
  <c r="E14"/>
  <c r="E13"/>
  <c r="E12"/>
  <c r="E10"/>
  <c r="E6"/>
  <c r="E18" i="142"/>
  <c r="E17"/>
  <c r="E16"/>
  <c r="E15"/>
  <c r="E14"/>
  <c r="E13"/>
  <c r="E12"/>
  <c r="E10"/>
  <c r="E6"/>
  <c r="G19"/>
  <c r="E18" i="128"/>
  <c r="E17"/>
  <c r="E16"/>
  <c r="E15"/>
  <c r="E14"/>
  <c r="E13"/>
  <c r="E12"/>
  <c r="E10"/>
  <c r="E6"/>
  <c r="E18" i="129"/>
  <c r="E17"/>
  <c r="E16"/>
  <c r="E15"/>
  <c r="E14"/>
  <c r="E13"/>
  <c r="E12"/>
  <c r="E10"/>
  <c r="E6"/>
  <c r="E18" i="130"/>
  <c r="E17"/>
  <c r="E16"/>
  <c r="E15"/>
  <c r="E14"/>
  <c r="E13"/>
  <c r="E12"/>
  <c r="E10"/>
  <c r="E6"/>
  <c r="E18" i="131"/>
  <c r="E17"/>
  <c r="E16"/>
  <c r="E15"/>
  <c r="E14"/>
  <c r="E13"/>
  <c r="E12"/>
  <c r="E10"/>
  <c r="E6"/>
  <c r="E18" i="133"/>
  <c r="E17"/>
  <c r="E16"/>
  <c r="E15"/>
  <c r="E14"/>
  <c r="E13"/>
  <c r="E12"/>
  <c r="E10"/>
  <c r="E6"/>
  <c r="E18" i="134"/>
  <c r="E17"/>
  <c r="E16"/>
  <c r="E15"/>
  <c r="E14"/>
  <c r="E13"/>
  <c r="E12"/>
  <c r="E10"/>
  <c r="E6"/>
  <c r="E5" s="1"/>
  <c r="E18" i="135"/>
  <c r="E17"/>
  <c r="E16"/>
  <c r="E15"/>
  <c r="E14"/>
  <c r="E13"/>
  <c r="E12"/>
  <c r="E10"/>
  <c r="E7"/>
  <c r="E24" s="1"/>
  <c r="E6"/>
  <c r="G19" i="154"/>
  <c r="E19"/>
  <c r="E20" s="1"/>
  <c r="E5"/>
  <c r="G19" i="155"/>
  <c r="E19"/>
  <c r="E20"/>
  <c r="E5"/>
  <c r="G19" i="143"/>
  <c r="E5"/>
  <c r="G19" i="144"/>
  <c r="E19"/>
  <c r="E20"/>
  <c r="E5"/>
  <c r="G19" i="145"/>
  <c r="E5"/>
  <c r="G19" i="138"/>
  <c r="E19"/>
  <c r="E20"/>
  <c r="E5"/>
  <c r="G19" i="140"/>
  <c r="E5"/>
  <c r="G19" i="141"/>
  <c r="G19" i="128"/>
  <c r="G19" i="129"/>
  <c r="E19"/>
  <c r="E5"/>
  <c r="G19" i="130"/>
  <c r="E5"/>
  <c r="G19" i="131"/>
  <c r="E5"/>
  <c r="G19" i="133"/>
  <c r="E19"/>
  <c r="E20" s="1"/>
  <c r="G19" i="134"/>
  <c r="E19"/>
  <c r="G19" i="135"/>
  <c r="E5" i="53"/>
  <c r="E5" i="55"/>
  <c r="E21" i="37"/>
  <c r="E22"/>
  <c r="E5" i="38"/>
  <c r="E18" i="127"/>
  <c r="E17"/>
  <c r="E16"/>
  <c r="E15"/>
  <c r="E14"/>
  <c r="E13"/>
  <c r="E12"/>
  <c r="E10"/>
  <c r="E6"/>
  <c r="G19"/>
  <c r="G21" i="53"/>
  <c r="G21" i="54"/>
  <c r="E5"/>
  <c r="G21" i="55"/>
  <c r="G21" i="56"/>
  <c r="E21"/>
  <c r="E5"/>
  <c r="G21" i="57"/>
  <c r="G21" i="36"/>
  <c r="G21" i="37"/>
  <c r="G21" i="38"/>
  <c r="G21" i="39"/>
  <c r="G21" i="40"/>
  <c r="G21" i="41"/>
  <c r="G21" i="43"/>
  <c r="G21" i="44"/>
  <c r="G19" i="119"/>
  <c r="E18"/>
  <c r="E17"/>
  <c r="E16"/>
  <c r="E15"/>
  <c r="E14"/>
  <c r="E13"/>
  <c r="E12"/>
  <c r="E10"/>
  <c r="E6"/>
  <c r="E5"/>
  <c r="G19" i="120"/>
  <c r="E18"/>
  <c r="E17"/>
  <c r="E16"/>
  <c r="E15"/>
  <c r="E14"/>
  <c r="E13"/>
  <c r="E12"/>
  <c r="E10"/>
  <c r="E6"/>
  <c r="E5"/>
  <c r="G19" i="121"/>
  <c r="E18"/>
  <c r="E17"/>
  <c r="E16"/>
  <c r="E15"/>
  <c r="E14"/>
  <c r="E13"/>
  <c r="E12"/>
  <c r="E10"/>
  <c r="E7"/>
  <c r="E24"/>
  <c r="E6"/>
  <c r="E18" i="122"/>
  <c r="E17"/>
  <c r="E16"/>
  <c r="E15"/>
  <c r="E14"/>
  <c r="E13"/>
  <c r="E12"/>
  <c r="E10"/>
  <c r="E6"/>
  <c r="E18" i="123"/>
  <c r="E17"/>
  <c r="E16"/>
  <c r="E15"/>
  <c r="E14"/>
  <c r="E13"/>
  <c r="E12"/>
  <c r="E10"/>
  <c r="E6"/>
  <c r="E18" i="124"/>
  <c r="E17"/>
  <c r="E16"/>
  <c r="E15"/>
  <c r="E14"/>
  <c r="E13"/>
  <c r="E12"/>
  <c r="E10"/>
  <c r="E7"/>
  <c r="E24"/>
  <c r="E6"/>
  <c r="E18" i="125"/>
  <c r="E17"/>
  <c r="E16"/>
  <c r="E15"/>
  <c r="E14"/>
  <c r="E13"/>
  <c r="E12"/>
  <c r="E10"/>
  <c r="E6"/>
  <c r="G19" i="122"/>
  <c r="G19" i="123"/>
  <c r="E19"/>
  <c r="G19" i="124"/>
  <c r="G19" i="125"/>
  <c r="E19"/>
  <c r="E5" i="19"/>
  <c r="E5" i="109"/>
  <c r="E5" i="21"/>
  <c r="E5" i="26"/>
  <c r="E5" i="65"/>
  <c r="E7" i="29"/>
  <c r="E27"/>
  <c r="E6"/>
  <c r="G21" i="45"/>
  <c r="E5"/>
  <c r="G21" i="46"/>
  <c r="E21"/>
  <c r="E22"/>
  <c r="E5"/>
  <c r="G21" i="47"/>
  <c r="G21" i="48"/>
  <c r="E21"/>
  <c r="E22" s="1"/>
  <c r="E5"/>
  <c r="G21" i="49"/>
  <c r="G21" i="50"/>
  <c r="E21"/>
  <c r="E22"/>
  <c r="E5"/>
  <c r="G21" i="16"/>
  <c r="G21" i="32"/>
  <c r="G21" i="33"/>
  <c r="E21"/>
  <c r="E5"/>
  <c r="G21" i="34"/>
  <c r="E21"/>
  <c r="E5"/>
  <c r="G21" i="35"/>
  <c r="E21"/>
  <c r="E5"/>
  <c r="G21" i="17"/>
  <c r="G21" i="18"/>
  <c r="E21"/>
  <c r="E5"/>
  <c r="G21" i="66"/>
  <c r="G21" i="19"/>
  <c r="G21" i="109"/>
  <c r="G21" i="20"/>
  <c r="E21"/>
  <c r="E22" s="1"/>
  <c r="E5"/>
  <c r="G21" i="21"/>
  <c r="E21"/>
  <c r="G21" i="22"/>
  <c r="E21"/>
  <c r="E5"/>
  <c r="G21" i="23"/>
  <c r="E21"/>
  <c r="E5"/>
  <c r="G21" i="24"/>
  <c r="E21"/>
  <c r="G21" i="25"/>
  <c r="E5"/>
  <c r="G21" i="26"/>
  <c r="G21" i="65"/>
  <c r="G21" i="27"/>
  <c r="G21" i="28"/>
  <c r="G21" i="29"/>
  <c r="G21" i="30"/>
  <c r="G21" i="31"/>
  <c r="G21" i="11"/>
  <c r="G21" i="12"/>
  <c r="G21" i="13"/>
  <c r="G21" i="14"/>
  <c r="G21" i="15"/>
  <c r="G21" i="10"/>
  <c r="E5"/>
  <c r="G21" i="4"/>
  <c r="G21" i="5"/>
  <c r="G21" i="6"/>
  <c r="G21" i="7"/>
  <c r="G21" i="8"/>
  <c r="G21" i="9"/>
  <c r="E5" i="141"/>
  <c r="E5" i="128"/>
  <c r="E19" i="131"/>
  <c r="E20" s="1"/>
  <c r="E19" i="135"/>
  <c r="E20" s="1"/>
  <c r="E21" i="55"/>
  <c r="E22" s="1"/>
  <c r="E21" i="38"/>
  <c r="E22" s="1"/>
  <c r="E21" i="39"/>
  <c r="E22" s="1"/>
  <c r="E21" i="44"/>
  <c r="E22" s="1"/>
  <c r="E5"/>
  <c r="E5" i="47"/>
  <c r="E21" i="49"/>
  <c r="E5"/>
  <c r="E19" i="119"/>
  <c r="E19" i="120"/>
  <c r="E20"/>
  <c r="E5" i="121"/>
  <c r="E19"/>
  <c r="E19" i="122"/>
  <c r="E5"/>
  <c r="E5" i="123"/>
  <c r="E5" i="124"/>
  <c r="E19"/>
  <c r="E20"/>
  <c r="E5" i="125"/>
  <c r="E21" i="65"/>
  <c r="E22" s="1"/>
  <c r="E5" i="4"/>
  <c r="E5" i="5"/>
  <c r="E5" i="6"/>
  <c r="E5" i="7"/>
  <c r="E21" i="8"/>
  <c r="E5"/>
  <c r="E5" i="146"/>
  <c r="E5" i="137"/>
  <c r="E19" i="141"/>
  <c r="E20" s="1"/>
  <c r="E19" i="128"/>
  <c r="E20" s="1"/>
  <c r="E5" i="133"/>
  <c r="E5" i="135"/>
  <c r="E21" i="54"/>
  <c r="E22" s="1"/>
  <c r="E5" i="57"/>
  <c r="E5" i="36"/>
  <c r="E21"/>
  <c r="E22" s="1"/>
  <c r="E5" i="37"/>
  <c r="E5" i="39"/>
  <c r="E5" i="40"/>
  <c r="E21" i="41"/>
  <c r="E5"/>
  <c r="E5" i="127"/>
  <c r="E21" i="43"/>
  <c r="E5"/>
  <c r="E21" i="47"/>
  <c r="E22" s="1"/>
  <c r="E5" i="16"/>
  <c r="E21"/>
  <c r="E22"/>
  <c r="E21" i="32"/>
  <c r="E5"/>
  <c r="E5" i="17"/>
  <c r="E21"/>
  <c r="E22" s="1"/>
  <c r="E21" i="19"/>
  <c r="E22" s="1"/>
  <c r="E21" i="109"/>
  <c r="E22" s="1"/>
  <c r="E5" i="24"/>
  <c r="E21" i="26"/>
  <c r="E22"/>
  <c r="E5" i="27"/>
  <c r="E21" i="28"/>
  <c r="E22" s="1"/>
  <c r="E5"/>
  <c r="E21" i="29"/>
  <c r="E22"/>
  <c r="E5"/>
  <c r="E5" i="30"/>
  <c r="E21"/>
  <c r="E22"/>
  <c r="E5" i="31"/>
  <c r="E21"/>
  <c r="E22" s="1"/>
  <c r="E5" i="11"/>
  <c r="E21" i="12"/>
  <c r="E22"/>
  <c r="E5"/>
  <c r="E5" i="13"/>
  <c r="E21"/>
  <c r="E22"/>
  <c r="E21" i="14"/>
  <c r="E22"/>
  <c r="E5"/>
  <c r="E21" i="15"/>
  <c r="E22" s="1"/>
  <c r="E5"/>
  <c r="E21" i="4"/>
  <c r="E22"/>
  <c r="E21" i="5"/>
  <c r="E22"/>
  <c r="E21" i="6"/>
  <c r="E22"/>
  <c r="E21" i="7"/>
  <c r="E22"/>
  <c r="E21" i="9"/>
  <c r="E22"/>
  <c r="E5"/>
  <c r="E5" i="1"/>
  <c r="E19" i="137"/>
  <c r="E20"/>
  <c r="E19" i="145"/>
  <c r="E20"/>
  <c r="E19" i="143"/>
  <c r="E20"/>
  <c r="E20" i="146"/>
  <c r="E20" i="148"/>
  <c r="E20" i="152"/>
  <c r="E20" i="153"/>
  <c r="E20" i="139"/>
  <c r="E19" i="140"/>
  <c r="E20" s="1"/>
  <c r="E19" i="142"/>
  <c r="E20" s="1"/>
  <c r="E5"/>
  <c r="E19" i="130"/>
  <c r="E20"/>
  <c r="E20" i="129"/>
  <c r="E20" i="134"/>
  <c r="E21" i="53"/>
  <c r="E22"/>
  <c r="E21" i="57"/>
  <c r="E22"/>
  <c r="E21" i="40"/>
  <c r="E22"/>
  <c r="E19" i="127"/>
  <c r="E20" s="1"/>
  <c r="E22" i="56"/>
  <c r="E22" i="41"/>
  <c r="E22" i="43"/>
  <c r="E21" i="45"/>
  <c r="E22" s="1"/>
  <c r="E20" i="119"/>
  <c r="E20" i="121"/>
  <c r="E20" i="122"/>
  <c r="E20" i="123"/>
  <c r="E20" i="125"/>
  <c r="E21" i="66"/>
  <c r="E22"/>
  <c r="E5"/>
  <c r="E21" i="25"/>
  <c r="E22" s="1"/>
  <c r="E21" i="27"/>
  <c r="E22" s="1"/>
  <c r="E21" i="11"/>
  <c r="E22" s="1"/>
  <c r="E21" i="10"/>
  <c r="E22" s="1"/>
  <c r="E22" i="49"/>
  <c r="E22" i="32"/>
  <c r="E22" i="33"/>
  <c r="E22" i="34"/>
  <c r="E22" i="35"/>
  <c r="E22" i="18"/>
  <c r="E22" i="21"/>
  <c r="E22" i="22"/>
  <c r="E22" i="23"/>
  <c r="E22" i="24"/>
  <c r="E22" i="8"/>
  <c r="E21" i="1"/>
  <c r="G21"/>
  <c r="E22"/>
  <c r="B31" i="170" l="1"/>
  <c r="E31"/>
  <c r="D47"/>
  <c r="E47" s="1"/>
  <c r="B48"/>
  <c r="B47" s="1"/>
  <c r="B64" s="1"/>
  <c r="B59"/>
  <c r="B31" i="171"/>
  <c r="E31"/>
  <c r="D47"/>
  <c r="E47" s="1"/>
  <c r="B48"/>
  <c r="B59"/>
  <c r="B31" i="172"/>
  <c r="E31"/>
  <c r="D47"/>
  <c r="E47" s="1"/>
  <c r="B48"/>
  <c r="B59"/>
  <c r="B31" i="191"/>
  <c r="E31"/>
  <c r="D47"/>
  <c r="E47" s="1"/>
  <c r="B48"/>
  <c r="B47" s="1"/>
  <c r="B64" s="1"/>
  <c r="B59"/>
  <c r="B31" i="192"/>
  <c r="B64" s="1"/>
  <c r="E31"/>
  <c r="D47"/>
  <c r="E47" s="1"/>
  <c r="B48"/>
  <c r="B47" s="1"/>
  <c r="B59"/>
  <c r="B31" i="193"/>
  <c r="B64" s="1"/>
  <c r="E31"/>
  <c r="D47"/>
  <c r="E47" s="1"/>
  <c r="B48"/>
  <c r="B47" s="1"/>
  <c r="B59"/>
  <c r="B31" i="194"/>
  <c r="E31"/>
  <c r="D47"/>
  <c r="E47" s="1"/>
  <c r="B48"/>
  <c r="B59"/>
  <c r="B31" i="211"/>
  <c r="E31"/>
  <c r="D47"/>
  <c r="E47" s="1"/>
  <c r="B48"/>
  <c r="B47" s="1"/>
  <c r="B64" s="1"/>
  <c r="B59"/>
  <c r="B31" i="213"/>
  <c r="E31"/>
  <c r="D47"/>
  <c r="E47" s="1"/>
  <c r="B48"/>
  <c r="B47" s="1"/>
  <c r="B64" s="1"/>
  <c r="B59"/>
  <c r="B31" i="212"/>
  <c r="E31"/>
  <c r="D47"/>
  <c r="E47" s="1"/>
  <c r="B48"/>
  <c r="B59"/>
  <c r="B64" i="214"/>
  <c r="B31"/>
  <c r="E31"/>
  <c r="D47"/>
  <c r="E47" s="1"/>
  <c r="B48"/>
  <c r="B47" s="1"/>
  <c r="B59"/>
  <c r="B31" i="215"/>
  <c r="E31"/>
  <c r="D47"/>
  <c r="E47" s="1"/>
  <c r="B48"/>
  <c r="B59"/>
  <c r="D65" i="216"/>
  <c r="E65" s="1"/>
  <c r="E64"/>
  <c r="B4"/>
  <c r="E4"/>
  <c r="B50"/>
  <c r="B62"/>
  <c r="B47" s="1"/>
  <c r="D66" i="217"/>
  <c r="D65"/>
  <c r="E65" s="1"/>
  <c r="E64"/>
  <c r="E66" s="1"/>
  <c r="B4"/>
  <c r="E4"/>
  <c r="B50"/>
  <c r="B47" s="1"/>
  <c r="B62"/>
  <c r="B31" i="218"/>
  <c r="E31"/>
  <c r="D47"/>
  <c r="E47" s="1"/>
  <c r="B48"/>
  <c r="B59"/>
  <c r="B31" i="219"/>
  <c r="E31"/>
  <c r="D47"/>
  <c r="E47" s="1"/>
  <c r="B48"/>
  <c r="B47" s="1"/>
  <c r="B64" s="1"/>
  <c r="B59"/>
  <c r="B64" i="220"/>
  <c r="B31"/>
  <c r="E31"/>
  <c r="D47"/>
  <c r="E47" s="1"/>
  <c r="B48"/>
  <c r="B47" s="1"/>
  <c r="B59"/>
  <c r="B31" i="221"/>
  <c r="E31"/>
  <c r="D47"/>
  <c r="E47" s="1"/>
  <c r="B48"/>
  <c r="B47" s="1"/>
  <c r="B64" s="1"/>
  <c r="B59"/>
  <c r="B31" i="222"/>
  <c r="E31"/>
  <c r="D47"/>
  <c r="E47" s="1"/>
  <c r="B48"/>
  <c r="B59"/>
  <c r="D66" i="223"/>
  <c r="D65"/>
  <c r="E65" s="1"/>
  <c r="E64"/>
  <c r="B31"/>
  <c r="B4"/>
  <c r="E4"/>
  <c r="B50"/>
  <c r="B47" s="1"/>
  <c r="B62"/>
  <c r="D47" i="224"/>
  <c r="B64"/>
  <c r="D64"/>
  <c r="C27" i="209"/>
  <c r="C27" i="208"/>
  <c r="C27" i="207"/>
  <c r="C27" i="206"/>
  <c r="C27" i="205"/>
  <c r="C27" i="204"/>
  <c r="C27" i="203"/>
  <c r="C27" i="202"/>
  <c r="C29" s="1"/>
  <c r="C27" i="201"/>
  <c r="C27" i="200"/>
  <c r="C27" i="199"/>
  <c r="C29" i="198"/>
  <c r="C27"/>
  <c r="C27" i="197"/>
  <c r="C29" s="1"/>
  <c r="C27" i="196"/>
  <c r="C27" i="195"/>
  <c r="C29"/>
  <c r="C29" i="196"/>
  <c r="C29" i="199"/>
  <c r="C29" i="200"/>
  <c r="C29" i="201"/>
  <c r="C29" i="203"/>
  <c r="C29" i="204"/>
  <c r="C29" i="205"/>
  <c r="C29" i="206"/>
  <c r="C29" i="207"/>
  <c r="C29" i="208"/>
  <c r="C29" i="209"/>
  <c r="E5" i="126"/>
  <c r="E66" i="223" l="1"/>
  <c r="B65" i="170"/>
  <c r="B66"/>
  <c r="D64"/>
  <c r="D64" i="171"/>
  <c r="B47"/>
  <c r="B64" s="1"/>
  <c r="D64" i="172"/>
  <c r="B47"/>
  <c r="B64" s="1"/>
  <c r="B65" i="191"/>
  <c r="B66"/>
  <c r="D64"/>
  <c r="B65" i="192"/>
  <c r="B66"/>
  <c r="D64"/>
  <c r="B65" i="193"/>
  <c r="B66"/>
  <c r="D64"/>
  <c r="D64" i="194"/>
  <c r="B47"/>
  <c r="B64" s="1"/>
  <c r="B65" i="211"/>
  <c r="B66" s="1"/>
  <c r="D64"/>
  <c r="B65" i="213"/>
  <c r="B66"/>
  <c r="D64"/>
  <c r="D64" i="212"/>
  <c r="B47"/>
  <c r="B64" s="1"/>
  <c r="D64" i="214"/>
  <c r="B65"/>
  <c r="B66" s="1"/>
  <c r="D64" i="215"/>
  <c r="B47"/>
  <c r="B64" s="1"/>
  <c r="B64" i="216"/>
  <c r="E66"/>
  <c r="D66"/>
  <c r="B64" i="217"/>
  <c r="D64" i="218"/>
  <c r="B47"/>
  <c r="B64" s="1"/>
  <c r="B65" i="219"/>
  <c r="B66"/>
  <c r="D64"/>
  <c r="D64" i="220"/>
  <c r="B65"/>
  <c r="B66" s="1"/>
  <c r="B65" i="221"/>
  <c r="B66"/>
  <c r="D64"/>
  <c r="D64" i="222"/>
  <c r="B47"/>
  <c r="B64" s="1"/>
  <c r="B64" i="223"/>
  <c r="D65" i="224"/>
  <c r="D66" s="1"/>
  <c r="B65"/>
  <c r="B66" s="1"/>
  <c r="D65" i="170" l="1"/>
  <c r="E65" s="1"/>
  <c r="E64"/>
  <c r="B65" i="171"/>
  <c r="B66"/>
  <c r="D65"/>
  <c r="E65" s="1"/>
  <c r="E64"/>
  <c r="B65" i="172"/>
  <c r="B66"/>
  <c r="D65"/>
  <c r="E65" s="1"/>
  <c r="E64"/>
  <c r="D65" i="191"/>
  <c r="E65" s="1"/>
  <c r="E64"/>
  <c r="D65" i="192"/>
  <c r="E65" s="1"/>
  <c r="E64"/>
  <c r="D65" i="193"/>
  <c r="E65" s="1"/>
  <c r="E64"/>
  <c r="B65" i="194"/>
  <c r="B66"/>
  <c r="D65"/>
  <c r="E65" s="1"/>
  <c r="E64"/>
  <c r="D65" i="211"/>
  <c r="E65" s="1"/>
  <c r="E64"/>
  <c r="D65" i="213"/>
  <c r="E65" s="1"/>
  <c r="E64"/>
  <c r="B65" i="212"/>
  <c r="B66" s="1"/>
  <c r="D66"/>
  <c r="D65"/>
  <c r="E65" s="1"/>
  <c r="E64"/>
  <c r="E66" s="1"/>
  <c r="D65" i="214"/>
  <c r="E65" s="1"/>
  <c r="E64"/>
  <c r="B65" i="215"/>
  <c r="B66" s="1"/>
  <c r="D66"/>
  <c r="D65"/>
  <c r="E65" s="1"/>
  <c r="E64"/>
  <c r="E66" s="1"/>
  <c r="B65" i="216"/>
  <c r="B66"/>
  <c r="B65" i="217"/>
  <c r="B66"/>
  <c r="B65" i="218"/>
  <c r="B66" s="1"/>
  <c r="D66"/>
  <c r="D65"/>
  <c r="E65" s="1"/>
  <c r="E64"/>
  <c r="E66" s="1"/>
  <c r="D65" i="219"/>
  <c r="E65" s="1"/>
  <c r="E64"/>
  <c r="D65" i="220"/>
  <c r="E65" s="1"/>
  <c r="E64"/>
  <c r="D66" i="221"/>
  <c r="D65"/>
  <c r="E65" s="1"/>
  <c r="E64"/>
  <c r="B65" i="222"/>
  <c r="B66"/>
  <c r="D65"/>
  <c r="E65" s="1"/>
  <c r="E64"/>
  <c r="B65" i="223"/>
  <c r="B66"/>
  <c r="E66" i="221" l="1"/>
  <c r="E66" i="170"/>
  <c r="D66"/>
  <c r="E66" i="171"/>
  <c r="D66"/>
  <c r="E66" i="172"/>
  <c r="D66"/>
  <c r="E66" i="191"/>
  <c r="D66"/>
  <c r="E66" i="192"/>
  <c r="D66"/>
  <c r="E66" i="193"/>
  <c r="D66"/>
  <c r="E66" i="194"/>
  <c r="D66"/>
  <c r="E66" i="211"/>
  <c r="D66"/>
  <c r="E66" i="213"/>
  <c r="D66"/>
  <c r="E66" i="214"/>
  <c r="D66"/>
  <c r="E66" i="219"/>
  <c r="D66"/>
  <c r="E66" i="220"/>
  <c r="D66"/>
  <c r="E66" i="222"/>
  <c r="D66"/>
</calcChain>
</file>

<file path=xl/sharedStrings.xml><?xml version="1.0" encoding="utf-8"?>
<sst xmlns="http://schemas.openxmlformats.org/spreadsheetml/2006/main" count="8264" uniqueCount="163">
  <si>
    <t>№</t>
  </si>
  <si>
    <t>Статья</t>
  </si>
  <si>
    <t>ед.изм.</t>
  </si>
  <si>
    <t>Стоимость</t>
  </si>
  <si>
    <t>содержание жилья</t>
  </si>
  <si>
    <t>ремонт жилья</t>
  </si>
  <si>
    <t>Запланировано по статье "содержание жилья" общего имущества МКД</t>
  </si>
  <si>
    <t>Управление многоквартирным домом</t>
  </si>
  <si>
    <t>Аварийно-диспетчерское сопровожд.</t>
  </si>
  <si>
    <t>Вывоз ТБО</t>
  </si>
  <si>
    <t>Электрика</t>
  </si>
  <si>
    <t>Содержание придомовой территории</t>
  </si>
  <si>
    <t>Уборка лестничных клеток</t>
  </si>
  <si>
    <t>Всего затрат</t>
  </si>
  <si>
    <t>Планируемый остаток на конец года</t>
  </si>
  <si>
    <t>Запланировано по статье "ремонт жилья" общего имущества МКД</t>
  </si>
  <si>
    <t>Ремонт жилья:</t>
  </si>
  <si>
    <t>Дезинсекция и дератизация</t>
  </si>
  <si>
    <t>охрана тепловых узлов</t>
  </si>
  <si>
    <t>руб.</t>
  </si>
  <si>
    <t>составление энергопаспорта</t>
  </si>
  <si>
    <t>услуги банка</t>
  </si>
  <si>
    <t>Работы необходимые для надлежащего содержания несущих конструкций(фундаментов, стен, колонн и столбов, перекрытий и покрытий, балок ригелей, лестниц, несущих элементов крыш) и несущих конструкций (перегородок, внутренней отделки, полов) многоквартирных домов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</si>
  <si>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</t>
  </si>
  <si>
    <t xml:space="preserve">Работы и услуги по  содержанию  иного общего имущества в многоквартирном  доме </t>
  </si>
  <si>
    <t>итого</t>
  </si>
  <si>
    <t>Годовой план работ по содержанию и текущему ремонту общего имущества в МКД на 2015 год</t>
  </si>
  <si>
    <t>Плановая сумма доходов на 2015 год</t>
  </si>
  <si>
    <t>Срок / периодичность выполнения</t>
  </si>
  <si>
    <t>Плановая сумма доходов на 201 год</t>
  </si>
  <si>
    <t>круглосуточно</t>
  </si>
  <si>
    <t>ежедневно</t>
  </si>
  <si>
    <t>в рабочие дни</t>
  </si>
  <si>
    <t>по графику</t>
  </si>
  <si>
    <t>Эксплуатация здания и оборудования (Работы, необходимые для надлежащего содержания инженерно-технического оборудования и конструктивных элементов дома)</t>
  </si>
  <si>
    <t xml:space="preserve">Наименование работ и услуг </t>
  </si>
  <si>
    <t>Периодичность выполнения работ и услуг</t>
  </si>
  <si>
    <t>Работы выполняемые в отношении всех видов фундаментов</t>
  </si>
  <si>
    <t>Плановые осмотры с устранением мелких неисправностей – 1 раз в год. Ремонт по мере необходимости</t>
  </si>
  <si>
    <t>Работы выполняемые в зданиях с подвалами</t>
  </si>
  <si>
    <t>Работы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</si>
  <si>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</si>
  <si>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колонн и столбов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</si>
  <si>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</si>
  <si>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</si>
  <si>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</si>
  <si>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</si>
  <si>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</si>
  <si>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 xml:space="preserve">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 защитных свойств отделки по отношению к несущим конструкциям и инженерному оборудованию –устранение выявленных нарушений </t>
  </si>
  <si>
    <t xml:space="preserve">Работы, выполняемые в целях надлежащего содержания полов помещений, относящихся к общему имуществу в многоквартирном доме: проверка состояния основания, поверхностного слоя </t>
  </si>
  <si>
    <t>Работы выполняемые в целях надлежащего содержания оконных и дверных заполнений помещений, относящихся к общему имуществу  в многоквартирном доме</t>
  </si>
  <si>
    <t>Работы, выполняемые в целях надлежащего содержания систем вентиляции многоквартирных домов</t>
  </si>
  <si>
    <t>Плановые осмотры с устранением мелких неисправностей – ежемесячно. Ремонт по мере необходимости</t>
  </si>
  <si>
    <t>Работы, выполняемые в целях надлежащего содержания индивидуальных тепловых пунктов и водоподкачек в многоквартирных домах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</si>
  <si>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</si>
  <si>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Общие работы, выполняемые для надлежащего содержания систем теплоснабжения (отопление  и горячее водоснабжение) в многоквартирных домах</t>
  </si>
  <si>
    <t>Общие работы, выполняемые для надлежащего содержания систем электрооборудования, радио- и телекоммуникационного оборудования в многоквартирных домах</t>
  </si>
  <si>
    <t>Работы по содержанию помещений входящих в состав общего имущества в многоквартирном доме</t>
  </si>
  <si>
    <t>согласно графика</t>
  </si>
  <si>
    <t xml:space="preserve"> Работы по содержанию земельного участка, на котором расположен многоквартирный жилой дом. С элементами озеленения и благоустройства, иными объектами, предназначенными для обслуживания и эксплуатации этого дома этого дома (далее придомовая территория), холодный период года</t>
  </si>
  <si>
    <t>Работы по содержанию придомовой территории в теплый период года</t>
  </si>
  <si>
    <t xml:space="preserve"> Работы по обеспечению вывоза бытовых отходов, в том числе откачке жидких бытовых отходов</t>
  </si>
  <si>
    <t xml:space="preserve"> Работы по обеспечению требований пожарной безопасности  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противопожарной защиты, противодымной защиты</t>
  </si>
  <si>
    <t>ежемесячно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</si>
  <si>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</si>
  <si>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Стоимость 1м2 общей площади, рублей</t>
  </si>
  <si>
    <t>всего затрат</t>
  </si>
  <si>
    <t>Стоимость 1м2 общей площади (рублей  в месяц)</t>
  </si>
  <si>
    <t>2015 год</t>
  </si>
  <si>
    <t xml:space="preserve">Работы, выполняемые в целях надлежащего содержания внутренней отделки многкартирных домов, - проверка состояния внутренней отделки. При наличии угрозы обрушения отделочных слоев или нарушения  защитных свойств отделки по отношению к несущим конструкциям и инженерному оборудованию –устранение выявленных нарушений </t>
  </si>
  <si>
    <t>Плановые осмотры с устранением мелких неисправностей – 1 раз вгод. Ремонт по мере необходимости</t>
  </si>
  <si>
    <t>в том числе</t>
  </si>
  <si>
    <t>Плановая сумма доходов на 2015 год - всего</t>
  </si>
  <si>
    <t>Стоимость, руб.</t>
  </si>
  <si>
    <t>Годовой план работ по содержанию общего имущества многоквартирного дома на 2015 год</t>
  </si>
  <si>
    <t>ремонт подъездов</t>
  </si>
  <si>
    <t>ремонт подъезда</t>
  </si>
  <si>
    <t>установка почтовых ящиков</t>
  </si>
  <si>
    <t>2015 г.</t>
  </si>
  <si>
    <t>Наименование работ и услуг</t>
  </si>
  <si>
    <t>Стоимость на 1 м2 жилой площади в месяц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</si>
  <si>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</si>
  <si>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- фундамент</t>
  </si>
  <si>
    <t>- стены</t>
  </si>
  <si>
    <t>- перкрытия</t>
  </si>
  <si>
    <t>- крыши</t>
  </si>
  <si>
    <t>- лестницы</t>
  </si>
  <si>
    <t>- фасад</t>
  </si>
  <si>
    <t>- перегородки</t>
  </si>
  <si>
    <t>- внутренняя отделка мест общего пользования</t>
  </si>
  <si>
    <t>- полы</t>
  </si>
  <si>
    <t>- окна, двери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</si>
  <si>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</si>
  <si>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- вентиляция</t>
  </si>
  <si>
    <t>- тепловые пункты</t>
  </si>
  <si>
    <t>- система водоснабжения, водоотведения, теплоснабжения</t>
  </si>
  <si>
    <t>- содержание электросетей</t>
  </si>
  <si>
    <t>III. Работы и услуги по содержанию иного общего имущества в многоквартирном доме</t>
  </si>
  <si>
    <t>Санитарное содержание мест общего пользования– уборка подъездов</t>
  </si>
  <si>
    <t>Содержание земельного участка  -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дома.</t>
  </si>
  <si>
    <t xml:space="preserve">- складирование и транспортировка твердых бытовых отходов </t>
  </si>
  <si>
    <t>- аварийно - диспетчерское обслуживание</t>
  </si>
  <si>
    <t>ИТОГО</t>
  </si>
  <si>
    <t>Управленческие расходы</t>
  </si>
  <si>
    <t>ВСЕГО</t>
  </si>
  <si>
    <t>годовая стоимость, руб.</t>
  </si>
  <si>
    <r>
      <t>Наименование работ и услуг</t>
    </r>
    <r>
      <rPr>
        <sz val="9"/>
        <rFont val="Times New Roman"/>
        <family val="1"/>
        <charset val="204"/>
      </rPr>
      <t xml:space="preserve">
Периодичность выполнения работ и оказания услуг</t>
    </r>
  </si>
  <si>
    <t>Годовая плата, руб.</t>
  </si>
  <si>
    <t>Стоимость на 1 м2 общей площади в месяц</t>
  </si>
  <si>
    <t>Стоимость на 1 м2 площади квартиры в месяц</t>
  </si>
  <si>
    <t>Плановые осмотры с устранением мелких неисправностей - 1 раз в год. Ремонт по мере необходимости на основании дефектных ведомостей по решению собственников помещений</t>
  </si>
  <si>
    <t>1. ФУНДАМЕНТ</t>
  </si>
  <si>
    <t xml:space="preserve">Проверка технического состояния видимых частей конструкций с выявлением: признаков неравномерных осадок фундаментов; коррозии арматуры, расслаивания, трещин, выпучивания, отклонения от вертикали; 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 проверка состояния гидроизоляции фундаментов и систем водоотвода фундамента. При выявлении нарушений - восстановление их работоспособности; </t>
  </si>
  <si>
    <t>3. 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</si>
  <si>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стен;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</si>
  <si>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 ПЕРЕКРЫТИЯ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</si>
  <si>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 проверка состояния утеплителя, гидроизоляции и звукоизоляции, адгезии отделочных слоев к конструкциям перекрытия (покрытия);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</si>
  <si>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 КОЛОННЫ, СТОЛБЫ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</si>
  <si>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 выявление поражения гнилью, дереворазрушающими грибками и жучками-точильщиками, расслоения древесины, разрывов волокон древесины в домах с деревянными стойками;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</si>
  <si>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6. БАЛКИ, ПЕРЕКРЫТИЯ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</si>
  <si>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</si>
  <si>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Плановые осмотры с устранением мелких неисправностей - 1 раз в год. Ремонт по мере необходимости на основании дефектных ведомостей.</t>
  </si>
  <si>
    <t>7. КРЫШИ</t>
  </si>
  <si>
    <t>8. ЛЕСТНИЦЫ</t>
  </si>
  <si>
    <t>Выявление прогибов косоуров, нарушения связи косоуров с площадками, коррозии металлических конструкций в домах с лестницами по стальным косоурам;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лестницами; при выявлении повреждений и нарушений - разработка плана восстановительных работ (при необходимости), проведение восстановительных работ;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лестницами.</t>
  </si>
  <si>
    <t>9. ФАСАД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</si>
  <si>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 контроль состояния и работоспособности входов в подъезды; выявление нарушений и эксплуатационных качеств несущих конструкций, гидроизоляции, элементов металлических ограждений на козырьках; контроль состояния и восстановление или замена отдельных элементов крылец и зонтов над входами в здание, в подвалы и над балконами;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</si>
  <si>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10. ПЕРЕГОРОДКИ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</si>
  <si>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 проверка звукоизоляции и огнезащиты;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</si>
  <si>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11. ВНУТРЕННЯЯ ОТДЕЛКА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</si>
  <si>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</si>
  <si>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12. ПОЛЫ</t>
  </si>
  <si>
    <t>Проверка состояния основания, поверхностного слоя и работоспособности системы вентиляции (для деревянных полов);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</si>
  <si>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13. ОКНА, ДВЕРИ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</si>
  <si>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 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</si>
  <si>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15. ВЕНТИЛЯЦИЯ, ДЫМОУДАЛЕНИЕ</t>
  </si>
  <si>
    <t>Проверка утепления теплых чердаков, плотности закрытия входов на них; устранение неплотностей в вентиляционных каналах и шахтах, устранение засоров в каналах, устранение неисправностей зонтов над шахтами, замена дефективных вытяжных решеток и их креплений; проверка исправности; контроль состояния и восстановление антикоррозионной окраски металлических вытяжных каналов, труб, поддонов и дефлекторов;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</si>
  <si>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17. ИНДИВИДУАЛЬНЫЕ ТЕПЛОВЫЕ ПУНКТЫ</t>
  </si>
  <si>
    <t>18. СИСТЕМЫ ВОДОСНАБЖЕНИЯ (ХОЛОДНОГО И ГОРЯЧЕГО), ОТОПЛЕНИЯ, ВОДООТВЕДЕНИЯ</t>
  </si>
  <si>
    <t>Плановые осмотры с устранением мелких неисправностей 2 раза в год. Ремонт по мере необходимости на основании дефектных ведомостей.</t>
  </si>
  <si>
    <t>19. СОДЕРЖАНИЕ ТЕПЛОСНАБЖЕНИЯ (ОТОПЛЕНИЕ, ГВС)</t>
  </si>
  <si>
    <t>Испытания на прочность и плотность (гидравлические испытания) узлов ввода и систем отопления, промывка и регулировка систем отопления; удаление воздуха из системы отопления; промывка централизованных систем теплоснабжения для удаления накипно-коррозионных отложений.</t>
  </si>
  <si>
    <t>20. СОДЕРЖАНИЕ ЭЛЕКТРОСНАБЖЕНИЯ, РАДИО И ТЕЛЕКОММУНИКАЦИОННОГО ОБОРУДОВАНИЯ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</si>
  <si>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проверки; проверка и обеспечение работоспособности устройств защитного отключения; 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</si>
  <si>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Плановые осмотры с устранением мелких неисправностей - 2 раз в год. Ремонт по мере необходимости на основании дефектных ведомостей.</t>
  </si>
  <si>
    <t>САНИТАРНОЕ СОДЕРЖАНИЕ МЕСТ ОБЩЕГО ПОЛЬЗОВАНИЯ</t>
  </si>
  <si>
    <t>СОДЕРЖАНИЕ ЗЕМЕЛЬНОГО УЧАСТКА -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</t>
  </si>
  <si>
    <t xml:space="preserve">24.  В холодный период года: </t>
  </si>
  <si>
    <t>сдвигание свежевыпавшего снега и очистка придомовой территории от снега и льда при наличии колейности свыше 5 см; очистка придомовой территории от снега наносного происхождения (или подметание такой территории, свободной от снежного покрова); очистка придомовой территории от наледи и льда; очистка от мусора урн, установленных возле подъездов, уборка контейнерных площадок; уборка крыльца и площадки перед входом в подъезд.</t>
  </si>
  <si>
    <t>по мере необходимости. Начало работ не позднее 3 часов после начала снегопада</t>
  </si>
  <si>
    <t xml:space="preserve">25. В теплый период года: </t>
  </si>
  <si>
    <t>подметание и уборка придомовой территории - 2 раза внеделю</t>
  </si>
  <si>
    <t>очистка от мусора и промывка урн, уборка контейнерных площадок - по мере заполнения</t>
  </si>
  <si>
    <t>уборка и выкашивание газонов - 2 раза в летний период</t>
  </si>
  <si>
    <t>очистка металлической решетки и приямка - по мере необходимости</t>
  </si>
  <si>
    <t>согласно договору по графику вывоза</t>
  </si>
  <si>
    <t>27. Работы по обеспечению требований пожарной безопасности –  осмотры и обеспечение работоспособного состояния пожарных лестниц, лазов, проходов, выходов, систем аварийного освещения: ежемесячно</t>
  </si>
  <si>
    <t>28.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</si>
  <si>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постоянно на системах водоснабжения, теплоснабжения, газоснабжения, канализации, энергоснабжения</t>
  </si>
  <si>
    <r>
      <t xml:space="preserve">Проверка кровли на отсутствие протечек;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 проверка температурно-влажностного режима и воздухообмена на чердаке; контроль состояния оборудования или устройств, предотвращающих образование наледи и сосулек; проверка и при необходимости очистка кровли и водоотводящих устройств от мусора, грязи и наледи, препятствующих стоку дождевых и талых вод; проверка и при необходимости очистка кровли от скопления снега и наледи;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 </t>
    </r>
    <r>
      <rPr>
        <b/>
        <sz val="9"/>
        <rFont val="Times New Roman"/>
        <family val="1"/>
        <charset val="204"/>
      </rPr>
      <t>При выявлении нарушений, приводящих к протечкам, - незамедлительное их устранение</t>
    </r>
    <r>
      <rPr>
        <sz val="9"/>
        <rFont val="Times New Roman"/>
        <family val="1"/>
        <charset val="204"/>
      </rPr>
      <t>. В остальных случаях - разработка плана восстановительных работ (при необходимости), проведение восстановительных работ.</t>
    </r>
  </si>
  <si>
    <r>
      <t xml:space="preserve">Проверка исправности и работоспособности оборудования, выполнение наладочных и ремонтных работ на индивидуальных тепловых пунктах в многоквартирных домах; </t>
    </r>
    <r>
      <rPr>
        <b/>
        <sz val="9"/>
        <rFont val="Times New Roman"/>
        <family val="1"/>
        <charset val="204"/>
      </rPr>
  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  </r>
    <r>
      <rPr>
        <sz val="9"/>
        <rFont val="Times New Roman"/>
        <family val="1"/>
        <charset val="204"/>
      </rPr>
      <t>; гидравлические и тепловые испытания оборудования тепловых пунктов.</t>
    </r>
  </si>
  <si>
    <r>
      <t xml:space="preserve">Проверка исправности, работоспособности, регулировка и техническое обслуживание насосов, запорной арматуры,  элементов, скрытых от постоянного наблюдения (разводящих трубопроводов и оборудования на чердаках, в подвалах и каналах); </t>
    </r>
    <r>
      <rPr>
        <b/>
        <sz val="9"/>
        <rFont val="Times New Roman"/>
        <family val="1"/>
        <charset val="204"/>
      </rPr>
      <t>постоянный контроль параметров теплоносителя и воды (давления, температуры, расхода) и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незамедлительное принятие мер к восстановлению требуемых параметров отопления и водоснабжения и герметичности систем</t>
    </r>
    <r>
      <rPr>
        <sz val="9"/>
        <rFont val="Times New Roman"/>
        <family val="1"/>
        <charset val="204"/>
      </rPr>
      <t>;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 контроль состояния и незамедлительное восстановление герметичности участков трубопроводов и соединительных элементов в случае их разгерметизации; контроль состояния и восстановление исправности элементов внутренней канализации, канализационных вытяжек; промывка участков водопровода после выполнения ремонтно-строительных работ на водопроводе.</t>
    </r>
  </si>
  <si>
    <r>
      <t>26. Незамедлительный вывоз твердых бытовых отходов при накоплении более 2,5 куб. метров;</t>
    </r>
    <r>
      <rPr>
        <b/>
        <strike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организация мест накопления бытовых отходов.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</si>
</sst>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7" formatCode="0.000"/>
  </numFmts>
  <fonts count="22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10"/>
      <name val="Times New Roman"/>
      <family val="1"/>
      <charset val="204"/>
    </font>
    <font>
      <u/>
      <sz val="8"/>
      <color theme="10"/>
      <name val="Arial"/>
      <family val="2"/>
    </font>
    <font>
      <u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trike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74">
    <xf numFmtId="0" fontId="0" fillId="0" borderId="0" xfId="0"/>
    <xf numFmtId="0" fontId="2" fillId="0" borderId="0" xfId="0" applyFont="1" applyAlignment="1" applyProtection="1">
      <alignment horizontal="left"/>
      <protection hidden="1"/>
    </xf>
    <xf numFmtId="0" fontId="3" fillId="2" borderId="0" xfId="1" applyFont="1" applyFill="1" applyAlignment="1" applyProtection="1">
      <alignment horizontal="center"/>
      <protection hidden="1"/>
    </xf>
    <xf numFmtId="0" fontId="2" fillId="0" borderId="0" xfId="0" applyFont="1"/>
    <xf numFmtId="0" fontId="2" fillId="0" borderId="1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left" indent="2"/>
      <protection hidden="1"/>
    </xf>
    <xf numFmtId="4" fontId="2" fillId="2" borderId="1" xfId="0" applyNumberFormat="1" applyFont="1" applyFill="1" applyBorder="1" applyAlignment="1" applyProtection="1">
      <alignment vertical="center"/>
      <protection hidden="1"/>
    </xf>
    <xf numFmtId="4" fontId="1" fillId="2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4" fontId="1" fillId="0" borderId="1" xfId="0" applyNumberFormat="1" applyFont="1" applyBorder="1" applyAlignment="1" applyProtection="1">
      <alignment horizontal="center"/>
      <protection hidden="1"/>
    </xf>
    <xf numFmtId="4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/>
      <protection hidden="1"/>
    </xf>
    <xf numFmtId="4" fontId="2" fillId="0" borderId="0" xfId="0" applyNumberFormat="1" applyFont="1"/>
    <xf numFmtId="0" fontId="2" fillId="0" borderId="3" xfId="0" applyFont="1" applyBorder="1" applyAlignment="1" applyProtection="1">
      <alignment horizontal="left"/>
      <protection hidden="1"/>
    </xf>
    <xf numFmtId="2" fontId="2" fillId="0" borderId="0" xfId="0" applyNumberFormat="1" applyFont="1"/>
    <xf numFmtId="164" fontId="2" fillId="0" borderId="4" xfId="0" applyNumberFormat="1" applyFont="1" applyBorder="1" applyAlignment="1" applyProtection="1">
      <alignment horizontal="center"/>
      <protection hidden="1"/>
    </xf>
    <xf numFmtId="164" fontId="2" fillId="0" borderId="1" xfId="0" applyNumberFormat="1" applyFont="1" applyBorder="1" applyAlignment="1" applyProtection="1">
      <alignment horizontal="center"/>
      <protection hidden="1"/>
    </xf>
    <xf numFmtId="4" fontId="4" fillId="0" borderId="1" xfId="0" applyNumberFormat="1" applyFont="1" applyBorder="1" applyAlignment="1" applyProtection="1">
      <alignment horizontal="center"/>
      <protection hidden="1"/>
    </xf>
    <xf numFmtId="4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protection hidden="1"/>
    </xf>
    <xf numFmtId="0" fontId="2" fillId="0" borderId="1" xfId="0" applyFont="1" applyBorder="1"/>
    <xf numFmtId="0" fontId="4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 applyProtection="1">
      <alignment horizontal="center"/>
      <protection hidden="1"/>
    </xf>
    <xf numFmtId="4" fontId="1" fillId="0" borderId="4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8" fillId="0" borderId="0" xfId="0" applyFont="1" applyBorder="1" applyAlignment="1">
      <alignment horizontal="center"/>
    </xf>
    <xf numFmtId="0" fontId="4" fillId="0" borderId="1" xfId="0" applyFont="1" applyBorder="1"/>
    <xf numFmtId="0" fontId="2" fillId="0" borderId="0" xfId="0" applyFont="1" applyBorder="1" applyAlignment="1" applyProtection="1">
      <protection hidden="1"/>
    </xf>
    <xf numFmtId="0" fontId="9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 indent="1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wrapText="1" indent="1"/>
    </xf>
    <xf numFmtId="0" fontId="7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left"/>
      <protection hidden="1"/>
    </xf>
    <xf numFmtId="0" fontId="9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/>
      <protection hidden="1"/>
    </xf>
    <xf numFmtId="2" fontId="9" fillId="0" borderId="9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12" fillId="0" borderId="0" xfId="0" applyFont="1"/>
    <xf numFmtId="0" fontId="14" fillId="0" borderId="17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6" fillId="0" borderId="19" xfId="0" applyFont="1" applyBorder="1" applyAlignment="1">
      <alignment wrapText="1"/>
    </xf>
    <xf numFmtId="0" fontId="17" fillId="0" borderId="19" xfId="0" applyFont="1" applyBorder="1" applyAlignment="1">
      <alignment wrapText="1"/>
    </xf>
    <xf numFmtId="0" fontId="17" fillId="0" borderId="19" xfId="0" applyFont="1" applyBorder="1"/>
    <xf numFmtId="0" fontId="15" fillId="0" borderId="23" xfId="0" applyFont="1" applyBorder="1" applyAlignment="1">
      <alignment horizontal="center"/>
    </xf>
    <xf numFmtId="0" fontId="15" fillId="0" borderId="19" xfId="0" applyFont="1" applyBorder="1"/>
    <xf numFmtId="0" fontId="15" fillId="0" borderId="24" xfId="0" applyFont="1" applyBorder="1" applyAlignment="1">
      <alignment horizontal="center"/>
    </xf>
    <xf numFmtId="0" fontId="18" fillId="0" borderId="19" xfId="0" applyFont="1" applyBorder="1" applyAlignment="1">
      <alignment wrapText="1"/>
    </xf>
    <xf numFmtId="0" fontId="15" fillId="0" borderId="12" xfId="0" applyFont="1" applyBorder="1" applyAlignment="1">
      <alignment horizontal="center" vertical="center" wrapText="1"/>
    </xf>
    <xf numFmtId="0" fontId="19" fillId="0" borderId="19" xfId="0" applyFont="1" applyBorder="1" applyAlignment="1">
      <alignment wrapText="1"/>
    </xf>
    <xf numFmtId="0" fontId="15" fillId="0" borderId="18" xfId="0" applyFont="1" applyBorder="1" applyAlignment="1">
      <alignment horizontal="center" wrapText="1"/>
    </xf>
    <xf numFmtId="0" fontId="19" fillId="0" borderId="19" xfId="0" applyFont="1" applyBorder="1" applyAlignment="1">
      <alignment vertical="top"/>
    </xf>
    <xf numFmtId="0" fontId="15" fillId="0" borderId="23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15" fillId="0" borderId="0" xfId="0" applyFont="1" applyAlignment="1">
      <alignment horizontal="justify"/>
    </xf>
    <xf numFmtId="0" fontId="1" fillId="0" borderId="0" xfId="0" applyFont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wrapText="1"/>
      <protection hidden="1"/>
    </xf>
    <xf numFmtId="0" fontId="7" fillId="0" borderId="1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/>
      <protection hidden="1"/>
    </xf>
    <xf numFmtId="0" fontId="7" fillId="0" borderId="0" xfId="0" applyFont="1" applyAlignment="1">
      <alignment horizontal="center" wrapText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wrapText="1"/>
    </xf>
    <xf numFmtId="0" fontId="18" fillId="0" borderId="14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5" fillId="0" borderId="14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0" borderId="16" xfId="0" applyFont="1" applyFill="1" applyBorder="1" applyAlignment="1"/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center" vertical="top" wrapText="1"/>
    </xf>
    <xf numFmtId="2" fontId="1" fillId="0" borderId="25" xfId="0" applyNumberFormat="1" applyFont="1" applyFill="1" applyBorder="1"/>
    <xf numFmtId="0" fontId="1" fillId="0" borderId="1" xfId="0" applyFont="1" applyFill="1" applyBorder="1" applyAlignment="1">
      <alignment horizontal="justify"/>
    </xf>
    <xf numFmtId="0" fontId="1" fillId="0" borderId="26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20" fillId="0" borderId="0" xfId="0" applyFont="1" applyBorder="1"/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8" fillId="0" borderId="12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/>
    <xf numFmtId="43" fontId="1" fillId="0" borderId="1" xfId="0" applyNumberFormat="1" applyFont="1" applyFill="1" applyBorder="1" applyAlignment="1">
      <alignment horizontal="justify"/>
    </xf>
    <xf numFmtId="43" fontId="1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43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43" fontId="1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7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externalLink" Target="externalLinks/externalLink2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6;&#1084;&#1072;%20&#1089;&#1076;&#1072;&#1085;&#1085;&#1099;&#1077;%20&#1074;%20&#1084;&#1072;&#1077;%202015%20&#1075;\&#1084;&#1072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&#1056;&#1072;&#1073;&#1086;&#1095;&#1080;&#1081;%20&#1089;&#1090;&#1086;&#1083;\&#1050;&#1054;&#1053;&#1050;&#1059;&#1056;&#1057;%20&#1041;&#1045;&#1056;&#1045;&#1047;&#1050;&#1040;\&#1088;&#1072;&#1089;&#1095;&#1077;&#1090;%20&#1090;&#1072;&#1088;&#1080;&#1092;&#1086;&#1074;\&#1040;&#1042;&#1057;%20-%2032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"/>
      <sheetName val="Лист1"/>
      <sheetName val="расчет-жилье"/>
      <sheetName val="ТБО"/>
      <sheetName val="уборка подъездов"/>
      <sheetName val="уборка территории"/>
      <sheetName val="освещение"/>
      <sheetName val="дезинсекция"/>
      <sheetName val="электросети"/>
      <sheetName val="численность ВДИО"/>
      <sheetName val="численность КЭЗ"/>
      <sheetName val="содержание ВДИО"/>
      <sheetName val="содержание КЭЗ"/>
      <sheetName val="материалы ВДИО"/>
      <sheetName val="материалы КЭЗ"/>
      <sheetName val="ремонт ВДИО"/>
      <sheetName val="ремонт КЭЗ"/>
      <sheetName val="расходы компании"/>
      <sheetName val="Лист20"/>
    </sheetNames>
    <sheetDataSet>
      <sheetData sheetId="0" refreshError="1"/>
      <sheetData sheetId="1" refreshError="1"/>
      <sheetData sheetId="2" refreshError="1"/>
      <sheetData sheetId="3" refreshError="1">
        <row r="15">
          <cell r="F15">
            <v>3.5384480023216316</v>
          </cell>
        </row>
        <row r="24">
          <cell r="D24">
            <v>18.433217003917338</v>
          </cell>
        </row>
        <row r="26">
          <cell r="D26">
            <v>22.447306615878343</v>
          </cell>
        </row>
      </sheetData>
      <sheetData sheetId="4" refreshError="1">
        <row r="9">
          <cell r="G9">
            <v>4.0941932031040942</v>
          </cell>
        </row>
      </sheetData>
      <sheetData sheetId="5" refreshError="1">
        <row r="44">
          <cell r="F44">
            <v>1.7161297856319426</v>
          </cell>
        </row>
      </sheetData>
      <sheetData sheetId="6" refreshError="1">
        <row r="112">
          <cell r="F112">
            <v>1.6915871763866406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численность АУП"/>
      <sheetName val="численность текущ проф"/>
      <sheetName val="ФОТ 2760"/>
      <sheetName val="ФОТ 3200"/>
      <sheetName val="спецодежда"/>
      <sheetName val="транспорт"/>
      <sheetName val="ВСЕГО"/>
      <sheetName val="Лист10"/>
      <sheetName val="Лист11"/>
      <sheetName val="Лист12"/>
      <sheetName val="Лист13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5">
          <cell r="C45">
            <v>1.2482693397755387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K25"/>
  <sheetViews>
    <sheetView workbookViewId="0">
      <selection activeCell="B11" sqref="B11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42578125" style="13" customWidth="1"/>
    <col min="5" max="5" width="14.5703125" style="13" customWidth="1"/>
    <col min="6" max="6" width="8.85546875" style="3"/>
    <col min="7" max="7" width="8.7109375" style="3" hidden="1" customWidth="1"/>
    <col min="8" max="10" width="8.85546875" style="3"/>
    <col min="11" max="11" width="27.140625" style="3" customWidth="1"/>
    <col min="12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209709.88800000004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830.6*12*16.39</f>
        <v>163362.40800000002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830.6*4.65*12</f>
        <v>46347.48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830.6*12*0.003</f>
        <v>29.901600000000002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830.6*12*2.54</f>
        <v>25316.688000000002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830.6*12*2.11</f>
        <v>21030.792000000001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830.6*12*2.6</f>
        <v>25914.720000000001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830.6*12*1.92</f>
        <v>19137.024000000001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830.6*12*2.34</f>
        <v>23323.248</v>
      </c>
      <c r="G16" s="17">
        <v>13.98</v>
      </c>
    </row>
    <row r="17" spans="1:11">
      <c r="A17" s="4"/>
      <c r="B17" s="7" t="s">
        <v>12</v>
      </c>
      <c r="C17" s="12" t="s">
        <v>19</v>
      </c>
      <c r="D17" s="28" t="s">
        <v>33</v>
      </c>
      <c r="E17" s="19">
        <f>830.6*12*1.36</f>
        <v>13555.392000000002</v>
      </c>
      <c r="G17" s="17">
        <v>8.1199999999999992</v>
      </c>
      <c r="K17" s="32"/>
    </row>
    <row r="18" spans="1:11" ht="48">
      <c r="A18" s="4"/>
      <c r="B18" s="30" t="s">
        <v>34</v>
      </c>
      <c r="C18" s="31" t="s">
        <v>19</v>
      </c>
      <c r="D18" s="29" t="s">
        <v>32</v>
      </c>
      <c r="E18" s="31">
        <f>830.6*12*3.03</f>
        <v>30200.616000000002</v>
      </c>
      <c r="G18" s="17">
        <v>18.14</v>
      </c>
    </row>
    <row r="19" spans="1:11">
      <c r="A19" s="4"/>
      <c r="B19" s="7" t="s">
        <v>17</v>
      </c>
      <c r="C19" s="12" t="s">
        <v>19</v>
      </c>
      <c r="D19" s="12" t="s">
        <v>33</v>
      </c>
      <c r="E19" s="19">
        <f>830.6*12*0.07</f>
        <v>697.70400000000006</v>
      </c>
      <c r="F19" s="15"/>
      <c r="G19" s="17">
        <v>0.41</v>
      </c>
    </row>
    <row r="20" spans="1:11">
      <c r="A20" s="4"/>
      <c r="B20" s="7" t="s">
        <v>18</v>
      </c>
      <c r="C20" s="12" t="s">
        <v>19</v>
      </c>
      <c r="D20" s="12" t="s">
        <v>30</v>
      </c>
      <c r="E20" s="19">
        <f>830.6*12*0.42</f>
        <v>4186.2240000000002</v>
      </c>
      <c r="G20" s="17">
        <v>2.52</v>
      </c>
    </row>
    <row r="21" spans="1:11">
      <c r="A21" s="4"/>
      <c r="B21" s="8" t="s">
        <v>13</v>
      </c>
      <c r="C21" s="12" t="s">
        <v>19</v>
      </c>
      <c r="D21" s="12"/>
      <c r="E21" s="10">
        <f>E20+E19+E18+E17+E16+E15+E14+E13+E12+E11+E10</f>
        <v>163392.30960000004</v>
      </c>
      <c r="F21" s="15"/>
      <c r="G21" s="17">
        <f>G20+G19+G18+G17+G16+G15+G14+G13+G12+G11+G10</f>
        <v>100.00000000000001</v>
      </c>
    </row>
    <row r="22" spans="1:11">
      <c r="A22" s="4"/>
      <c r="B22" s="5" t="s">
        <v>14</v>
      </c>
      <c r="C22" s="12" t="s">
        <v>19</v>
      </c>
      <c r="D22" s="12"/>
      <c r="E22" s="10">
        <f>E6-E21</f>
        <v>-29.901600000011967</v>
      </c>
    </row>
    <row r="23" spans="1:11">
      <c r="A23" s="4"/>
      <c r="B23" s="91" t="s">
        <v>15</v>
      </c>
      <c r="C23" s="92"/>
      <c r="D23" s="92"/>
      <c r="E23" s="93"/>
    </row>
    <row r="24" spans="1:11">
      <c r="A24" s="4"/>
      <c r="B24" s="5" t="s">
        <v>16</v>
      </c>
      <c r="C24" s="12"/>
      <c r="D24" s="12"/>
      <c r="E24" s="10">
        <v>0</v>
      </c>
    </row>
    <row r="25" spans="1:11">
      <c r="A25" s="4"/>
      <c r="B25" s="5" t="s">
        <v>14</v>
      </c>
      <c r="C25" s="12" t="s">
        <v>19</v>
      </c>
      <c r="D25" s="12"/>
      <c r="E25" s="20">
        <f>E7-E24</f>
        <v>46347.48</v>
      </c>
    </row>
  </sheetData>
  <mergeCells count="3">
    <mergeCell ref="A2:E2"/>
    <mergeCell ref="B9:E9"/>
    <mergeCell ref="B23:E23"/>
  </mergeCells>
  <phoneticPr fontId="6" type="noConversion"/>
  <pageMargins left="0.7" right="0.7" top="0.35" bottom="0.43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topLeftCell="A2" workbookViewId="0">
      <selection activeCell="E26" sqref="E2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71093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197388.86399999997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781.8*12*16.39</f>
        <v>153764.42399999997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781.8*4.65*12</f>
        <v>43624.44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781.8*12*0.003</f>
        <v>28.144799999999996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781.8*12*2.54</f>
        <v>23829.263999999996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781.8*12*2.11</f>
        <v>19795.175999999996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781.8*12*2.6</f>
        <v>24392.159999999996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781.8*12*1.92</f>
        <v>18012.671999999995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781.8*12*2.34</f>
        <v>21952.943999999996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781.8*12*1.36</f>
        <v>12758.975999999999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781.8*12*3.03</f>
        <v>28426.247999999992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781.8*12*0.07</f>
        <v>656.71199999999999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781.8*12*0.42</f>
        <v>3940.271999999999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153792.56879999995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-28.144799999980023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/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10">
        <f>E7-E25</f>
        <v>43624.44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425781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264407.70000000007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823.7*12*20.67</f>
        <v>204310.54800000004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823.7*6.08*12</f>
        <v>60097.152000000002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823.7*12*2.38</f>
        <v>23524.872000000003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823.7*12*4.82</f>
        <v>47642.808000000012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823.7*12*2.29</f>
        <v>22635.276000000005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823.7*12*3.4</f>
        <v>33606.960000000006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823.7*12*2.61</f>
        <v>25798.284000000003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19">
        <f>823.7*12*4.64</f>
        <v>45863.616000000002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823.7*12*0.1</f>
        <v>988.44000000000017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823.7*12*0.43</f>
        <v>4250.2920000000004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204310.54800000004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/>
      <c r="D22" s="12"/>
      <c r="E22" s="10"/>
    </row>
    <row r="23" spans="1:7">
      <c r="A23" s="4"/>
      <c r="B23" s="6"/>
      <c r="C23" s="12" t="s">
        <v>19</v>
      </c>
      <c r="D23" s="12"/>
      <c r="E23" s="11">
        <v>0</v>
      </c>
    </row>
    <row r="24" spans="1:7">
      <c r="A24" s="4"/>
      <c r="B24" s="5" t="s">
        <v>14</v>
      </c>
      <c r="C24" s="12" t="s">
        <v>19</v>
      </c>
      <c r="D24" s="12"/>
      <c r="E24" s="10">
        <f>E7-E23</f>
        <v>60097.152000000002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D6" sqref="D6:D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268356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836*12*20.67</f>
        <v>207361.44000000003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836*6.08*12</f>
        <v>60994.559999999998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836*12*2.38</f>
        <v>23876.16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836*12*4.82</f>
        <v>48354.240000000005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836*12*2.29</f>
        <v>22973.279999999999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836*12*3.4</f>
        <v>34108.799999999996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836*12*2.61</f>
        <v>26183.52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19">
        <f>836*12*4.64</f>
        <v>46548.479999999996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836*12*0.1</f>
        <v>1003.2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836*12*0.43</f>
        <v>4313.76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207361.43999999997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A23" s="4"/>
      <c r="B23" s="6"/>
      <c r="C23" s="12" t="s">
        <v>19</v>
      </c>
      <c r="D23" s="12"/>
      <c r="E23" s="11">
        <v>0</v>
      </c>
    </row>
    <row r="24" spans="1:7">
      <c r="A24" s="4"/>
      <c r="B24" s="5" t="s">
        <v>14</v>
      </c>
      <c r="C24" s="12" t="s">
        <v>19</v>
      </c>
      <c r="D24" s="12"/>
      <c r="E24" s="10">
        <f>E7-E23</f>
        <v>60994.559999999998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J24" sqref="J24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7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263765.70000000007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821.7*12*20.67</f>
        <v>203814.46800000005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821.7*6.08*12</f>
        <v>59951.232000000004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821.7*12*2.38</f>
        <v>23467.752000000004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821.7*12*4.82</f>
        <v>47527.128000000012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821.7*12*2.29</f>
        <v>22580.316000000003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821.7*12*3.4</f>
        <v>33525.360000000001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821.7*12*2.61</f>
        <v>25735.644000000004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821.7*12*4.64</f>
        <v>45752.256000000001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821.7*12*0.1</f>
        <v>986.04000000000019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821.7*12*0.43</f>
        <v>4239.9720000000007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203814.46800000002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A23" s="4"/>
      <c r="B23" s="6"/>
      <c r="C23" s="12" t="s">
        <v>19</v>
      </c>
      <c r="D23" s="12"/>
      <c r="E23" s="11">
        <v>0</v>
      </c>
    </row>
    <row r="24" spans="1:7">
      <c r="A24" s="4"/>
      <c r="B24" s="5" t="s">
        <v>14</v>
      </c>
      <c r="C24" s="12" t="s">
        <v>19</v>
      </c>
      <c r="D24" s="12"/>
      <c r="E24" s="10">
        <f>E7-E23</f>
        <v>59951.232000000004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>
  <sheetPr>
    <tabColor theme="0"/>
  </sheetPr>
  <dimension ref="A1:F39"/>
  <sheetViews>
    <sheetView workbookViewId="0">
      <selection activeCell="C5" sqref="C5"/>
    </sheetView>
  </sheetViews>
  <sheetFormatPr defaultColWidth="8.85546875" defaultRowHeight="12"/>
  <cols>
    <col min="1" max="1" width="43.140625" style="3" customWidth="1"/>
    <col min="2" max="2" width="23.85546875" style="3" customWidth="1"/>
    <col min="3" max="3" width="27.5703125" style="13" customWidth="1"/>
    <col min="4" max="4" width="13.5703125" style="36" customWidth="1"/>
    <col min="5" max="5" width="8.85546875" style="33"/>
    <col min="6" max="6" width="8.7109375" style="3" hidden="1" customWidth="1"/>
    <col min="7" max="16384" width="8.85546875" style="3"/>
  </cols>
  <sheetData>
    <row r="1" spans="1:5" ht="12.75" customHeight="1">
      <c r="A1" s="103"/>
      <c r="B1" s="103"/>
      <c r="C1" s="103"/>
      <c r="D1" s="42"/>
    </row>
    <row r="2" spans="1:5" ht="27.75" customHeight="1">
      <c r="A2" s="104" t="s">
        <v>26</v>
      </c>
      <c r="B2" s="104"/>
      <c r="C2" s="104"/>
      <c r="D2" s="43"/>
      <c r="E2" s="43"/>
    </row>
    <row r="3" spans="1:5" ht="39" customHeight="1">
      <c r="A3" s="41" t="s">
        <v>35</v>
      </c>
      <c r="B3" s="41" t="s">
        <v>36</v>
      </c>
      <c r="C3" s="41" t="s">
        <v>65</v>
      </c>
    </row>
    <row r="4" spans="1:5" ht="21" customHeight="1">
      <c r="A4" s="5" t="s">
        <v>27</v>
      </c>
      <c r="B4" s="38"/>
      <c r="C4" s="38">
        <f>C5</f>
        <v>311615.03999999998</v>
      </c>
    </row>
    <row r="5" spans="1:5" ht="12.75" customHeight="1">
      <c r="A5" s="6" t="s">
        <v>4</v>
      </c>
      <c r="B5" s="40">
        <v>2015</v>
      </c>
      <c r="C5" s="40">
        <f>20.24*12*1283</f>
        <v>311615.03999999998</v>
      </c>
    </row>
    <row r="6" spans="1:5" ht="20.25" customHeight="1">
      <c r="A6" s="41"/>
      <c r="B6" s="38"/>
      <c r="C6" s="38"/>
    </row>
    <row r="7" spans="1:5" ht="51" customHeight="1">
      <c r="A7" s="105" t="s">
        <v>22</v>
      </c>
      <c r="B7" s="105"/>
      <c r="C7" s="105"/>
    </row>
    <row r="8" spans="1:5" ht="29.25" customHeight="1">
      <c r="A8" s="39" t="s">
        <v>37</v>
      </c>
      <c r="B8" s="97" t="s">
        <v>38</v>
      </c>
      <c r="C8" s="37">
        <f>0.11*12*1283</f>
        <v>1693.5600000000002</v>
      </c>
      <c r="D8" s="44"/>
    </row>
    <row r="9" spans="1:5" ht="19.5" customHeight="1">
      <c r="A9" s="39" t="s">
        <v>39</v>
      </c>
      <c r="B9" s="97"/>
      <c r="C9" s="37">
        <f>0.23*12*1283</f>
        <v>3541.0800000000004</v>
      </c>
      <c r="D9" s="44"/>
    </row>
    <row r="10" spans="1:5" ht="23.25" customHeight="1">
      <c r="A10" s="39" t="s">
        <v>40</v>
      </c>
      <c r="B10" s="97"/>
      <c r="C10" s="37">
        <f>0.45*12*1283</f>
        <v>6928.2000000000007</v>
      </c>
      <c r="D10" s="44"/>
    </row>
    <row r="11" spans="1:5" ht="39.75" customHeight="1">
      <c r="A11" s="39" t="s">
        <v>41</v>
      </c>
      <c r="B11" s="97"/>
      <c r="C11" s="37">
        <f>0.1*12*1283</f>
        <v>1539.6000000000001</v>
      </c>
      <c r="D11" s="44"/>
    </row>
    <row r="12" spans="1:5" ht="41.25" customHeight="1">
      <c r="A12" s="39" t="s">
        <v>42</v>
      </c>
      <c r="B12" s="97"/>
      <c r="C12" s="37">
        <f>0.1*12*1283</f>
        <v>1539.6000000000001</v>
      </c>
      <c r="D12" s="44"/>
    </row>
    <row r="13" spans="1:5" ht="40.5" customHeight="1">
      <c r="A13" s="39" t="s">
        <v>43</v>
      </c>
      <c r="B13" s="97"/>
      <c r="C13" s="37">
        <f>0.06*12*1283</f>
        <v>923.76</v>
      </c>
      <c r="D13" s="44"/>
    </row>
    <row r="14" spans="1:5" ht="33.75" customHeight="1">
      <c r="A14" s="39" t="s">
        <v>44</v>
      </c>
      <c r="B14" s="97"/>
      <c r="C14" s="37">
        <f>0.91*12*1283</f>
        <v>14010.36</v>
      </c>
      <c r="D14" s="44"/>
    </row>
    <row r="15" spans="1:5" ht="29.25" customHeight="1">
      <c r="A15" s="39" t="s">
        <v>45</v>
      </c>
      <c r="B15" s="97"/>
      <c r="C15" s="37">
        <f>0.21*12*1283</f>
        <v>3233.16</v>
      </c>
      <c r="D15" s="44"/>
    </row>
    <row r="16" spans="1:5" ht="29.25" customHeight="1">
      <c r="A16" s="39" t="s">
        <v>46</v>
      </c>
      <c r="B16" s="97"/>
      <c r="C16" s="37">
        <f>1.37*12*1283</f>
        <v>21092.52</v>
      </c>
      <c r="D16" s="44"/>
    </row>
    <row r="17" spans="1:4" ht="30" customHeight="1">
      <c r="A17" s="39" t="s">
        <v>47</v>
      </c>
      <c r="B17" s="97"/>
      <c r="C17" s="37">
        <f>0.04*12*1283</f>
        <v>615.84</v>
      </c>
      <c r="D17" s="44"/>
    </row>
    <row r="18" spans="1:4" ht="111" customHeight="1">
      <c r="A18" s="39" t="s">
        <v>48</v>
      </c>
      <c r="B18" s="97"/>
      <c r="C18" s="37">
        <f>0.65*12*1283</f>
        <v>10007.400000000001</v>
      </c>
      <c r="D18" s="44"/>
    </row>
    <row r="19" spans="1:4" ht="51" customHeight="1">
      <c r="A19" s="39" t="s">
        <v>49</v>
      </c>
      <c r="B19" s="97"/>
      <c r="C19" s="37">
        <f>0.12*12*1283</f>
        <v>1847.52</v>
      </c>
      <c r="D19" s="44"/>
    </row>
    <row r="20" spans="1:4" ht="54" customHeight="1">
      <c r="A20" s="39" t="s">
        <v>50</v>
      </c>
      <c r="B20" s="97"/>
      <c r="C20" s="37">
        <f>0.21*12*1283</f>
        <v>3233.16</v>
      </c>
      <c r="D20" s="44"/>
    </row>
    <row r="21" spans="1:4" ht="38.25" customHeight="1">
      <c r="A21" s="105" t="s">
        <v>23</v>
      </c>
      <c r="B21" s="105"/>
      <c r="C21" s="105"/>
    </row>
    <row r="22" spans="1:4" ht="38.25" customHeight="1">
      <c r="A22" s="39" t="s">
        <v>51</v>
      </c>
      <c r="B22" s="97" t="s">
        <v>52</v>
      </c>
      <c r="C22" s="37">
        <f>0.7*12*1283</f>
        <v>10777.199999999999</v>
      </c>
      <c r="D22" s="44"/>
    </row>
    <row r="23" spans="1:4" ht="41.25" customHeight="1">
      <c r="A23" s="39" t="s">
        <v>53</v>
      </c>
      <c r="B23" s="97"/>
      <c r="C23" s="37">
        <f>0.47*12*1283</f>
        <v>7236.12</v>
      </c>
      <c r="D23" s="44"/>
    </row>
    <row r="24" spans="1:4" ht="57.75" customHeight="1">
      <c r="A24" s="39" t="s">
        <v>54</v>
      </c>
      <c r="B24" s="97"/>
      <c r="C24" s="37">
        <f>1.17*12*1283</f>
        <v>18013.32</v>
      </c>
      <c r="D24" s="44"/>
    </row>
    <row r="25" spans="1:4" ht="38.25" customHeight="1">
      <c r="A25" s="39" t="s">
        <v>55</v>
      </c>
      <c r="B25" s="97"/>
      <c r="C25" s="37">
        <f>2.35*12*1283</f>
        <v>36180.600000000006</v>
      </c>
      <c r="D25" s="44"/>
    </row>
    <row r="26" spans="1:4" ht="55.5" customHeight="1">
      <c r="A26" s="39" t="s">
        <v>56</v>
      </c>
      <c r="B26" s="97"/>
      <c r="C26" s="37">
        <f>1.14*12*1283</f>
        <v>17551.439999999999</v>
      </c>
      <c r="D26" s="44"/>
    </row>
    <row r="27" spans="1:4" ht="25.5" customHeight="1">
      <c r="A27" s="105" t="s">
        <v>24</v>
      </c>
      <c r="B27" s="105"/>
      <c r="C27" s="105"/>
    </row>
    <row r="28" spans="1:4" ht="34.5" customHeight="1">
      <c r="A28" s="39" t="s">
        <v>57</v>
      </c>
      <c r="B28" s="37" t="s">
        <v>58</v>
      </c>
      <c r="C28" s="37">
        <f>1.84*12*1283</f>
        <v>28328.640000000003</v>
      </c>
      <c r="D28" s="44"/>
    </row>
    <row r="29" spans="1:4" ht="82.5" customHeight="1">
      <c r="A29" s="39" t="s">
        <v>59</v>
      </c>
      <c r="B29" s="37" t="s">
        <v>58</v>
      </c>
      <c r="C29" s="37">
        <f>2.61*12*1283</f>
        <v>40183.56</v>
      </c>
      <c r="D29" s="44"/>
    </row>
    <row r="30" spans="1:4" ht="35.25" customHeight="1">
      <c r="A30" s="39" t="s">
        <v>60</v>
      </c>
      <c r="B30" s="37" t="s">
        <v>58</v>
      </c>
      <c r="C30" s="37">
        <f>1.85*12*1283</f>
        <v>28482.600000000002</v>
      </c>
      <c r="D30" s="44"/>
    </row>
    <row r="31" spans="1:4" ht="36.75" customHeight="1">
      <c r="A31" s="39" t="s">
        <v>61</v>
      </c>
      <c r="B31" s="37" t="s">
        <v>31</v>
      </c>
      <c r="C31" s="37">
        <f>1.88*12*1283</f>
        <v>28944.48</v>
      </c>
      <c r="D31" s="44"/>
    </row>
    <row r="32" spans="1:4" ht="83.25" customHeight="1">
      <c r="A32" s="39" t="s">
        <v>62</v>
      </c>
      <c r="B32" s="37" t="s">
        <v>63</v>
      </c>
      <c r="C32" s="37">
        <f>0.95*12*1283</f>
        <v>14626.199999999999</v>
      </c>
      <c r="D32" s="44"/>
    </row>
    <row r="33" spans="1:4" ht="72" customHeight="1">
      <c r="A33" s="39" t="s">
        <v>64</v>
      </c>
      <c r="B33" s="37" t="s">
        <v>30</v>
      </c>
      <c r="C33" s="37">
        <f>0.72*12*1283</f>
        <v>11085.12</v>
      </c>
      <c r="D33" s="44"/>
    </row>
    <row r="34" spans="1:4">
      <c r="A34" s="45" t="s">
        <v>66</v>
      </c>
      <c r="B34" s="24"/>
      <c r="C34" s="28">
        <f>C33+C32+C31+C30+C29+C28+C26+C25+C24+C23+C22+C20+C19+C18+C17+C16+C15+C14+C13+C12+C11+C10+C9+C8</f>
        <v>311615.03999999998</v>
      </c>
    </row>
    <row r="35" spans="1:4">
      <c r="A35" s="5" t="s">
        <v>14</v>
      </c>
      <c r="B35" s="24"/>
      <c r="C35" s="28">
        <f>C4-C34</f>
        <v>0</v>
      </c>
    </row>
    <row r="36" spans="1:4">
      <c r="A36" s="102" t="s">
        <v>15</v>
      </c>
      <c r="B36" s="102"/>
      <c r="C36" s="102"/>
      <c r="D36" s="46"/>
    </row>
    <row r="37" spans="1:4">
      <c r="A37" s="5" t="s">
        <v>16</v>
      </c>
      <c r="B37" s="24"/>
      <c r="C37" s="28"/>
    </row>
    <row r="38" spans="1:4">
      <c r="A38" s="6"/>
      <c r="B38" s="24"/>
      <c r="C38" s="28">
        <v>0</v>
      </c>
    </row>
    <row r="39" spans="1:4">
      <c r="A39" s="5" t="s">
        <v>14</v>
      </c>
      <c r="B39" s="24"/>
      <c r="C39" s="28">
        <v>0</v>
      </c>
    </row>
  </sheetData>
  <mergeCells count="8">
    <mergeCell ref="A36:C36"/>
    <mergeCell ref="A1:C1"/>
    <mergeCell ref="A2:C2"/>
    <mergeCell ref="A7:C7"/>
    <mergeCell ref="B8:B20"/>
    <mergeCell ref="A21:C21"/>
    <mergeCell ref="B22:B26"/>
    <mergeCell ref="A27:C27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F39"/>
  <sheetViews>
    <sheetView topLeftCell="A16" workbookViewId="0">
      <selection activeCell="C5" sqref="C5"/>
    </sheetView>
  </sheetViews>
  <sheetFormatPr defaultColWidth="8.85546875" defaultRowHeight="12"/>
  <cols>
    <col min="1" max="1" width="43.140625" style="3" customWidth="1"/>
    <col min="2" max="2" width="23.85546875" style="3" customWidth="1"/>
    <col min="3" max="3" width="27.5703125" style="13" customWidth="1"/>
    <col min="4" max="4" width="13.5703125" style="36" customWidth="1"/>
    <col min="5" max="5" width="8.85546875" style="33"/>
    <col min="6" max="6" width="8.7109375" style="3" hidden="1" customWidth="1"/>
    <col min="7" max="16384" width="8.85546875" style="3"/>
  </cols>
  <sheetData>
    <row r="1" spans="1:5" ht="12.75" customHeight="1">
      <c r="A1" s="103"/>
      <c r="B1" s="103"/>
      <c r="C1" s="103"/>
      <c r="D1" s="42"/>
    </row>
    <row r="2" spans="1:5" ht="27.75" customHeight="1">
      <c r="A2" s="104" t="s">
        <v>26</v>
      </c>
      <c r="B2" s="104"/>
      <c r="C2" s="104"/>
      <c r="D2" s="43"/>
      <c r="E2" s="43"/>
    </row>
    <row r="3" spans="1:5" ht="39" customHeight="1">
      <c r="A3" s="41" t="s">
        <v>35</v>
      </c>
      <c r="B3" s="41" t="s">
        <v>36</v>
      </c>
      <c r="C3" s="41" t="s">
        <v>65</v>
      </c>
    </row>
    <row r="4" spans="1:5" ht="21" customHeight="1">
      <c r="A4" s="5" t="s">
        <v>27</v>
      </c>
      <c r="B4" s="38">
        <v>2015</v>
      </c>
      <c r="C4" s="38">
        <f>C5</f>
        <v>311590.75200000004</v>
      </c>
    </row>
    <row r="5" spans="1:5" ht="12.75" customHeight="1">
      <c r="A5" s="6" t="s">
        <v>4</v>
      </c>
      <c r="B5" s="40">
        <v>2015</v>
      </c>
      <c r="C5" s="40">
        <f>20.24*12*1282.9</f>
        <v>311590.75200000004</v>
      </c>
    </row>
    <row r="6" spans="1:5" ht="20.25" customHeight="1">
      <c r="A6" s="41"/>
      <c r="B6" s="38"/>
      <c r="C6" s="38"/>
    </row>
    <row r="7" spans="1:5" ht="51" customHeight="1">
      <c r="A7" s="105" t="s">
        <v>22</v>
      </c>
      <c r="B7" s="105"/>
      <c r="C7" s="105"/>
    </row>
    <row r="8" spans="1:5" ht="29.25" customHeight="1">
      <c r="A8" s="39" t="s">
        <v>37</v>
      </c>
      <c r="B8" s="97" t="s">
        <v>38</v>
      </c>
      <c r="C8" s="37">
        <f>0.11*12*1282.9</f>
        <v>1693.4280000000001</v>
      </c>
      <c r="D8" s="44"/>
    </row>
    <row r="9" spans="1:5" ht="19.5" customHeight="1">
      <c r="A9" s="39" t="s">
        <v>39</v>
      </c>
      <c r="B9" s="97"/>
      <c r="C9" s="37">
        <f>0.23*12*1282.9</f>
        <v>3540.8040000000005</v>
      </c>
      <c r="D9" s="44"/>
    </row>
    <row r="10" spans="1:5" ht="23.25" customHeight="1">
      <c r="A10" s="39" t="s">
        <v>40</v>
      </c>
      <c r="B10" s="97"/>
      <c r="C10" s="37">
        <f>0.45*12*1282.9</f>
        <v>6927.6600000000008</v>
      </c>
      <c r="D10" s="44"/>
    </row>
    <row r="11" spans="1:5" ht="39.75" customHeight="1">
      <c r="A11" s="39" t="s">
        <v>41</v>
      </c>
      <c r="B11" s="97"/>
      <c r="C11" s="37">
        <f>0.1*12*1282.9</f>
        <v>1539.4800000000002</v>
      </c>
      <c r="D11" s="44"/>
    </row>
    <row r="12" spans="1:5" ht="41.25" customHeight="1">
      <c r="A12" s="39" t="s">
        <v>42</v>
      </c>
      <c r="B12" s="97"/>
      <c r="C12" s="37">
        <f>0.1*12*1282.9</f>
        <v>1539.4800000000002</v>
      </c>
      <c r="D12" s="44"/>
    </row>
    <row r="13" spans="1:5" ht="45" customHeight="1">
      <c r="A13" s="39" t="s">
        <v>43</v>
      </c>
      <c r="B13" s="97"/>
      <c r="C13" s="37">
        <f>0.06*12*1282.9</f>
        <v>923.68799999999999</v>
      </c>
      <c r="D13" s="44"/>
    </row>
    <row r="14" spans="1:5" ht="33.75" customHeight="1">
      <c r="A14" s="39" t="s">
        <v>44</v>
      </c>
      <c r="B14" s="97"/>
      <c r="C14" s="37">
        <f>0.91*12*1282.9</f>
        <v>14009.268</v>
      </c>
      <c r="D14" s="44"/>
    </row>
    <row r="15" spans="1:5" ht="36.75" customHeight="1">
      <c r="A15" s="39" t="s">
        <v>45</v>
      </c>
      <c r="B15" s="97"/>
      <c r="C15" s="37">
        <f>0.21*12*1282.9</f>
        <v>3232.9080000000004</v>
      </c>
      <c r="D15" s="44"/>
    </row>
    <row r="16" spans="1:5" ht="35.25" customHeight="1">
      <c r="A16" s="39" t="s">
        <v>46</v>
      </c>
      <c r="B16" s="97"/>
      <c r="C16" s="37">
        <f>1.37*12*1282.9</f>
        <v>21090.876000000004</v>
      </c>
      <c r="D16" s="44"/>
    </row>
    <row r="17" spans="1:4" ht="33.75" customHeight="1">
      <c r="A17" s="39" t="s">
        <v>47</v>
      </c>
      <c r="B17" s="97"/>
      <c r="C17" s="37">
        <f>0.04*12*1282.9</f>
        <v>615.79200000000003</v>
      </c>
      <c r="D17" s="44"/>
    </row>
    <row r="18" spans="1:4" ht="116.25" customHeight="1">
      <c r="A18" s="39" t="s">
        <v>48</v>
      </c>
      <c r="B18" s="97"/>
      <c r="C18" s="37">
        <f>0.65*12*1282.9</f>
        <v>10006.620000000001</v>
      </c>
      <c r="D18" s="44"/>
    </row>
    <row r="19" spans="1:4" ht="51" customHeight="1">
      <c r="A19" s="39" t="s">
        <v>49</v>
      </c>
      <c r="B19" s="97"/>
      <c r="C19" s="37">
        <f>0.12*12*1282.9</f>
        <v>1847.376</v>
      </c>
      <c r="D19" s="44"/>
    </row>
    <row r="20" spans="1:4" ht="65.25" customHeight="1">
      <c r="A20" s="39" t="s">
        <v>50</v>
      </c>
      <c r="B20" s="97"/>
      <c r="C20" s="37">
        <f>0.21*12*1282.9</f>
        <v>3232.9080000000004</v>
      </c>
      <c r="D20" s="44"/>
    </row>
    <row r="21" spans="1:4" ht="38.25" customHeight="1">
      <c r="A21" s="105" t="s">
        <v>23</v>
      </c>
      <c r="B21" s="105"/>
      <c r="C21" s="105"/>
    </row>
    <row r="22" spans="1:4" ht="38.25" customHeight="1">
      <c r="A22" s="39" t="s">
        <v>51</v>
      </c>
      <c r="B22" s="97" t="s">
        <v>52</v>
      </c>
      <c r="C22" s="37">
        <f>0.7*12*1282.9</f>
        <v>10776.359999999999</v>
      </c>
      <c r="D22" s="44"/>
    </row>
    <row r="23" spans="1:4" ht="41.25" customHeight="1">
      <c r="A23" s="39" t="s">
        <v>53</v>
      </c>
      <c r="B23" s="97"/>
      <c r="C23" s="37">
        <f>0.47*12*1282.9</f>
        <v>7235.5560000000005</v>
      </c>
      <c r="D23" s="44"/>
    </row>
    <row r="24" spans="1:4" ht="57.75" customHeight="1">
      <c r="A24" s="39" t="s">
        <v>54</v>
      </c>
      <c r="B24" s="97"/>
      <c r="C24" s="37">
        <f>1.17*12*1282.9</f>
        <v>18011.916000000001</v>
      </c>
      <c r="D24" s="44"/>
    </row>
    <row r="25" spans="1:4" ht="38.25" customHeight="1">
      <c r="A25" s="39" t="s">
        <v>55</v>
      </c>
      <c r="B25" s="97"/>
      <c r="C25" s="37">
        <f>2.35*12*1282.9</f>
        <v>36177.780000000006</v>
      </c>
      <c r="D25" s="44"/>
    </row>
    <row r="26" spans="1:4" ht="55.5" customHeight="1">
      <c r="A26" s="39" t="s">
        <v>56</v>
      </c>
      <c r="B26" s="97"/>
      <c r="C26" s="37">
        <f>1.14*12*1282.9</f>
        <v>17550.072</v>
      </c>
      <c r="D26" s="44"/>
    </row>
    <row r="27" spans="1:4" ht="25.5" customHeight="1">
      <c r="A27" s="105" t="s">
        <v>24</v>
      </c>
      <c r="B27" s="105"/>
      <c r="C27" s="105"/>
    </row>
    <row r="28" spans="1:4" ht="41.25" customHeight="1">
      <c r="A28" s="39" t="s">
        <v>57</v>
      </c>
      <c r="B28" s="37" t="s">
        <v>58</v>
      </c>
      <c r="C28" s="37">
        <f>1.84*12*1282.9</f>
        <v>28326.432000000004</v>
      </c>
      <c r="D28" s="44"/>
    </row>
    <row r="29" spans="1:4" ht="82.5" customHeight="1">
      <c r="A29" s="39" t="s">
        <v>59</v>
      </c>
      <c r="B29" s="37" t="s">
        <v>58</v>
      </c>
      <c r="C29" s="37">
        <f>2.61*12*1282.9</f>
        <v>40180.428</v>
      </c>
      <c r="D29" s="44"/>
    </row>
    <row r="30" spans="1:4" ht="35.25" customHeight="1">
      <c r="A30" s="39" t="s">
        <v>60</v>
      </c>
      <c r="B30" s="37" t="s">
        <v>58</v>
      </c>
      <c r="C30" s="37">
        <f>1.85*12*1282.9</f>
        <v>28480.380000000005</v>
      </c>
      <c r="D30" s="44"/>
    </row>
    <row r="31" spans="1:4" ht="36.75" customHeight="1">
      <c r="A31" s="39" t="s">
        <v>61</v>
      </c>
      <c r="B31" s="37" t="s">
        <v>31</v>
      </c>
      <c r="C31" s="37">
        <f>1.88*12*1282.9</f>
        <v>28942.224000000002</v>
      </c>
      <c r="D31" s="44"/>
    </row>
    <row r="32" spans="1:4" ht="83.25" customHeight="1">
      <c r="A32" s="39" t="s">
        <v>62</v>
      </c>
      <c r="B32" s="37" t="s">
        <v>63</v>
      </c>
      <c r="C32" s="37">
        <f>0.95*12*1282.9</f>
        <v>14625.06</v>
      </c>
      <c r="D32" s="44"/>
    </row>
    <row r="33" spans="1:4" ht="72" customHeight="1">
      <c r="A33" s="39" t="s">
        <v>64</v>
      </c>
      <c r="B33" s="37" t="s">
        <v>30</v>
      </c>
      <c r="C33" s="37">
        <f>0.72*12*1282.9</f>
        <v>11084.256000000001</v>
      </c>
      <c r="D33" s="44"/>
    </row>
    <row r="34" spans="1:4">
      <c r="A34" s="45" t="s">
        <v>66</v>
      </c>
      <c r="B34" s="24"/>
      <c r="C34" s="28">
        <f>C33+C32+C31+C30+C29+C28+C26+C25+C24+C23+C22+C20+C19+C18+C17+C16+C15+C14+C13+C12+C11+C10+C9+C8</f>
        <v>311590.75199999992</v>
      </c>
    </row>
    <row r="35" spans="1:4">
      <c r="A35" s="5" t="s">
        <v>14</v>
      </c>
      <c r="B35" s="24"/>
      <c r="C35" s="28">
        <f>C5-C34</f>
        <v>0</v>
      </c>
    </row>
    <row r="36" spans="1:4">
      <c r="A36" s="102" t="s">
        <v>15</v>
      </c>
      <c r="B36" s="102"/>
      <c r="C36" s="102"/>
      <c r="D36" s="46"/>
    </row>
    <row r="37" spans="1:4">
      <c r="A37" s="5" t="s">
        <v>16</v>
      </c>
      <c r="B37" s="24"/>
      <c r="C37" s="28"/>
    </row>
    <row r="38" spans="1:4">
      <c r="A38" s="6"/>
      <c r="B38" s="24"/>
      <c r="C38" s="28"/>
    </row>
    <row r="39" spans="1:4">
      <c r="A39" s="5" t="s">
        <v>14</v>
      </c>
      <c r="B39" s="24"/>
      <c r="C39" s="28"/>
    </row>
  </sheetData>
  <mergeCells count="8">
    <mergeCell ref="A27:C27"/>
    <mergeCell ref="A36:C36"/>
    <mergeCell ref="A1:C1"/>
    <mergeCell ref="A2:C2"/>
    <mergeCell ref="A7:C7"/>
    <mergeCell ref="B8:B20"/>
    <mergeCell ref="A21:C21"/>
    <mergeCell ref="B22:B26"/>
  </mergeCells>
  <phoneticPr fontId="6" type="noConversion"/>
  <pageMargins left="0.75" right="0.75" top="1" bottom="1" header="0.5" footer="0.5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24"/>
  <sheetViews>
    <sheetView workbookViewId="0">
      <selection sqref="A1:IV65536"/>
    </sheetView>
  </sheetViews>
  <sheetFormatPr defaultColWidth="8.85546875" defaultRowHeight="12"/>
  <cols>
    <col min="1" max="1" width="2.85546875" style="3" customWidth="1"/>
    <col min="2" max="2" width="44.5703125" style="3" customWidth="1"/>
    <col min="3" max="3" width="10" style="13" customWidth="1"/>
    <col min="4" max="4" width="15.5703125" style="13" customWidth="1"/>
    <col min="5" max="5" width="14.7109375" style="13" customWidth="1"/>
    <col min="6" max="6" width="8.85546875" style="3"/>
    <col min="7" max="7" width="8.7109375" style="3" hidden="1" customWidth="1"/>
    <col min="8" max="8" width="10.42578125" style="3" hidden="1" customWidth="1"/>
    <col min="9" max="16384" width="8.85546875" style="3"/>
  </cols>
  <sheetData>
    <row r="1" spans="1:9">
      <c r="A1" s="1"/>
      <c r="B1" s="1"/>
      <c r="C1" s="9"/>
      <c r="D1" s="9"/>
      <c r="E1" s="2"/>
    </row>
    <row r="2" spans="1:9" ht="17.25" customHeight="1">
      <c r="A2" s="90" t="s">
        <v>26</v>
      </c>
      <c r="B2" s="90"/>
      <c r="C2" s="90"/>
      <c r="D2" s="90"/>
      <c r="E2" s="90"/>
    </row>
    <row r="3" spans="1:9">
      <c r="A3" s="1"/>
      <c r="B3" s="1"/>
      <c r="C3" s="9"/>
      <c r="D3" s="9"/>
      <c r="E3" s="9"/>
    </row>
    <row r="4" spans="1:9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9">
      <c r="A5" s="4"/>
      <c r="B5" s="5" t="s">
        <v>27</v>
      </c>
      <c r="C5" s="12" t="s">
        <v>19</v>
      </c>
      <c r="D5" s="12"/>
      <c r="E5" s="10">
        <f>E6</f>
        <v>397390.65599999996</v>
      </c>
    </row>
    <row r="6" spans="1:9">
      <c r="A6" s="4"/>
      <c r="B6" s="6" t="s">
        <v>4</v>
      </c>
      <c r="C6" s="12" t="s">
        <v>19</v>
      </c>
      <c r="D6" s="12" t="s">
        <v>78</v>
      </c>
      <c r="E6" s="11">
        <f>26.48*12*H6</f>
        <v>397390.65599999996</v>
      </c>
      <c r="G6" s="17">
        <v>78.349999999999994</v>
      </c>
      <c r="H6" s="3">
        <v>1250.5999999999999</v>
      </c>
    </row>
    <row r="7" spans="1:9">
      <c r="A7" s="4"/>
      <c r="B7" s="4"/>
      <c r="C7" s="12"/>
      <c r="D7" s="12"/>
      <c r="E7" s="12"/>
      <c r="H7" s="3">
        <v>1250.5999999999999</v>
      </c>
    </row>
    <row r="8" spans="1:9">
      <c r="A8" s="4"/>
      <c r="B8" s="91" t="s">
        <v>6</v>
      </c>
      <c r="C8" s="92"/>
      <c r="D8" s="92"/>
      <c r="E8" s="93"/>
      <c r="H8" s="3">
        <v>1250.5999999999999</v>
      </c>
    </row>
    <row r="9" spans="1:9">
      <c r="A9" s="4"/>
      <c r="B9" s="7" t="s">
        <v>8</v>
      </c>
      <c r="C9" s="12" t="s">
        <v>19</v>
      </c>
      <c r="D9" s="12" t="s">
        <v>30</v>
      </c>
      <c r="E9" s="19">
        <f>2.31*12*H9</f>
        <v>34666.631999999998</v>
      </c>
      <c r="G9" s="17">
        <v>12.62</v>
      </c>
      <c r="H9" s="3">
        <v>1250.5999999999999</v>
      </c>
      <c r="I9" s="73"/>
    </row>
    <row r="10" spans="1:9">
      <c r="A10" s="4"/>
      <c r="B10" s="7" t="s">
        <v>7</v>
      </c>
      <c r="C10" s="12" t="s">
        <v>19</v>
      </c>
      <c r="D10" s="28"/>
      <c r="E10" s="19">
        <f>2.84*12*H10</f>
        <v>42620.447999999997</v>
      </c>
      <c r="G10" s="17"/>
      <c r="H10" s="3">
        <v>1250.5999999999999</v>
      </c>
      <c r="I10" s="73"/>
    </row>
    <row r="11" spans="1:9">
      <c r="A11" s="4"/>
      <c r="B11" s="7" t="s">
        <v>9</v>
      </c>
      <c r="C11" s="12" t="s">
        <v>19</v>
      </c>
      <c r="D11" s="12" t="s">
        <v>31</v>
      </c>
      <c r="E11" s="19">
        <f>4.15*12*H11</f>
        <v>62279.88</v>
      </c>
      <c r="G11" s="17">
        <v>15.55</v>
      </c>
      <c r="H11" s="3">
        <v>1250.5999999999999</v>
      </c>
      <c r="I11" s="73"/>
    </row>
    <row r="12" spans="1:9">
      <c r="A12" s="4"/>
      <c r="B12" s="7" t="s">
        <v>10</v>
      </c>
      <c r="C12" s="12" t="s">
        <v>19</v>
      </c>
      <c r="D12" s="29" t="s">
        <v>32</v>
      </c>
      <c r="E12" s="19">
        <f>1.96*12*H12</f>
        <v>29414.111999999997</v>
      </c>
      <c r="G12" s="17">
        <v>11.46</v>
      </c>
      <c r="H12" s="3">
        <v>1250.5999999999999</v>
      </c>
      <c r="I12" s="73"/>
    </row>
    <row r="13" spans="1:9">
      <c r="A13" s="4"/>
      <c r="B13" s="7" t="s">
        <v>11</v>
      </c>
      <c r="C13" s="12" t="s">
        <v>19</v>
      </c>
      <c r="D13" s="28" t="s">
        <v>33</v>
      </c>
      <c r="E13" s="19">
        <f>2.93*12*H13</f>
        <v>43971.096000000005</v>
      </c>
      <c r="G13" s="17">
        <v>13.98</v>
      </c>
      <c r="H13" s="3">
        <v>1250.5999999999999</v>
      </c>
      <c r="I13" s="73"/>
    </row>
    <row r="14" spans="1:9">
      <c r="A14" s="4"/>
      <c r="B14" s="7" t="s">
        <v>12</v>
      </c>
      <c r="C14" s="12" t="s">
        <v>19</v>
      </c>
      <c r="D14" s="28" t="s">
        <v>33</v>
      </c>
      <c r="E14" s="19">
        <f>2.26*12*H14</f>
        <v>33916.271999999997</v>
      </c>
      <c r="G14" s="17">
        <v>8.1199999999999992</v>
      </c>
      <c r="H14" s="3">
        <v>1250.5999999999999</v>
      </c>
      <c r="I14" s="73"/>
    </row>
    <row r="15" spans="1:9" ht="48">
      <c r="A15" s="4"/>
      <c r="B15" s="30" t="s">
        <v>34</v>
      </c>
      <c r="C15" s="31" t="s">
        <v>19</v>
      </c>
      <c r="D15" s="31" t="s">
        <v>32</v>
      </c>
      <c r="E15" s="31">
        <f>9.47*12*H15</f>
        <v>142118.18400000001</v>
      </c>
      <c r="G15" s="17">
        <v>18.14</v>
      </c>
      <c r="H15" s="3">
        <v>1250.5999999999999</v>
      </c>
      <c r="I15" s="73"/>
    </row>
    <row r="16" spans="1:9">
      <c r="A16" s="4"/>
      <c r="B16" s="7" t="s">
        <v>17</v>
      </c>
      <c r="C16" s="12" t="s">
        <v>19</v>
      </c>
      <c r="D16" s="12" t="s">
        <v>33</v>
      </c>
      <c r="E16" s="19">
        <f>0.19*12*H16</f>
        <v>2851.3679999999999</v>
      </c>
      <c r="F16" s="15"/>
      <c r="G16" s="17">
        <v>0.41</v>
      </c>
      <c r="H16" s="3">
        <v>1250.5999999999999</v>
      </c>
      <c r="I16" s="73"/>
    </row>
    <row r="17" spans="1:9">
      <c r="A17" s="4"/>
      <c r="B17" s="7" t="s">
        <v>18</v>
      </c>
      <c r="C17" s="12" t="s">
        <v>19</v>
      </c>
      <c r="D17" s="12" t="s">
        <v>30</v>
      </c>
      <c r="E17" s="19">
        <f>0.37*12*H17</f>
        <v>5552.6639999999989</v>
      </c>
      <c r="G17" s="17">
        <v>2.52</v>
      </c>
      <c r="H17" s="3">
        <v>1250.5999999999999</v>
      </c>
      <c r="I17" s="73"/>
    </row>
    <row r="18" spans="1:9">
      <c r="A18" s="4"/>
      <c r="B18" s="8" t="s">
        <v>13</v>
      </c>
      <c r="C18" s="12" t="s">
        <v>19</v>
      </c>
      <c r="D18" s="12"/>
      <c r="E18" s="10">
        <f>E17+E16+E15+E14+E13+E12+E11+E10+E9</f>
        <v>397390.65599999996</v>
      </c>
      <c r="F18" s="15"/>
      <c r="G18" s="17" t="e">
        <f>G17+G16+G15+G14+G13+G12+G11+G10+G9+#REF!+#REF!</f>
        <v>#REF!</v>
      </c>
    </row>
    <row r="19" spans="1:9">
      <c r="A19" s="4"/>
      <c r="B19" s="5" t="s">
        <v>14</v>
      </c>
      <c r="C19" s="12" t="s">
        <v>19</v>
      </c>
      <c r="D19" s="12"/>
      <c r="E19" s="10">
        <f>E6-E18</f>
        <v>0</v>
      </c>
    </row>
    <row r="20" spans="1:9">
      <c r="A20" s="4"/>
      <c r="B20" s="91" t="s">
        <v>15</v>
      </c>
      <c r="C20" s="92"/>
      <c r="D20" s="92"/>
      <c r="E20" s="93"/>
    </row>
    <row r="21" spans="1:9">
      <c r="A21" s="4"/>
      <c r="B21" s="5" t="s">
        <v>16</v>
      </c>
      <c r="C21" s="12" t="s">
        <v>19</v>
      </c>
      <c r="D21" s="12"/>
      <c r="E21" s="10"/>
    </row>
    <row r="22" spans="1:9">
      <c r="A22" s="68"/>
      <c r="B22" s="22" t="s">
        <v>77</v>
      </c>
      <c r="C22" s="12" t="s">
        <v>19</v>
      </c>
      <c r="D22" s="12"/>
      <c r="E22" s="21">
        <v>13000</v>
      </c>
    </row>
    <row r="23" spans="1:9">
      <c r="B23" s="12" t="s">
        <v>25</v>
      </c>
      <c r="C23" s="12" t="s">
        <v>19</v>
      </c>
      <c r="D23" s="12"/>
      <c r="E23" s="11">
        <f>E22</f>
        <v>13000</v>
      </c>
    </row>
    <row r="24" spans="1:9">
      <c r="B24" s="5" t="s">
        <v>14</v>
      </c>
      <c r="C24" s="12" t="s">
        <v>19</v>
      </c>
      <c r="D24" s="12"/>
      <c r="E24" s="20">
        <f>E5-E18-E23</f>
        <v>-13000</v>
      </c>
    </row>
  </sheetData>
  <mergeCells count="3">
    <mergeCell ref="A2:E2"/>
    <mergeCell ref="B8:E8"/>
    <mergeCell ref="B20:E20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24"/>
  <sheetViews>
    <sheetView workbookViewId="0">
      <selection sqref="A1:IV65536"/>
    </sheetView>
  </sheetViews>
  <sheetFormatPr defaultColWidth="8.85546875" defaultRowHeight="12"/>
  <cols>
    <col min="1" max="1" width="2.85546875" style="3" customWidth="1"/>
    <col min="2" max="2" width="44.5703125" style="3" customWidth="1"/>
    <col min="3" max="3" width="10" style="13" customWidth="1"/>
    <col min="4" max="4" width="15.5703125" style="13" customWidth="1"/>
    <col min="5" max="5" width="14.7109375" style="13" customWidth="1"/>
    <col min="6" max="6" width="8.85546875" style="3"/>
    <col min="7" max="7" width="8.7109375" style="3" hidden="1" customWidth="1"/>
    <col min="8" max="8" width="10.85546875" style="3" hidden="1" customWidth="1"/>
    <col min="9" max="16384" width="8.85546875" style="3"/>
  </cols>
  <sheetData>
    <row r="1" spans="1:9">
      <c r="A1" s="1"/>
      <c r="B1" s="1"/>
      <c r="C1" s="9"/>
      <c r="D1" s="9"/>
      <c r="E1" s="2"/>
    </row>
    <row r="2" spans="1:9" ht="17.25" customHeight="1">
      <c r="A2" s="90" t="s">
        <v>26</v>
      </c>
      <c r="B2" s="90"/>
      <c r="C2" s="90"/>
      <c r="D2" s="90"/>
      <c r="E2" s="90"/>
    </row>
    <row r="3" spans="1:9">
      <c r="A3" s="1"/>
      <c r="B3" s="1"/>
      <c r="C3" s="9"/>
      <c r="D3" s="9"/>
      <c r="E3" s="9"/>
    </row>
    <row r="4" spans="1:9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9">
      <c r="A5" s="4"/>
      <c r="B5" s="5" t="s">
        <v>27</v>
      </c>
      <c r="C5" s="12" t="s">
        <v>19</v>
      </c>
      <c r="D5" s="12"/>
      <c r="E5" s="10">
        <f>E6</f>
        <v>404889.79200000002</v>
      </c>
    </row>
    <row r="6" spans="1:9">
      <c r="A6" s="4"/>
      <c r="B6" s="6" t="s">
        <v>4</v>
      </c>
      <c r="C6" s="12" t="s">
        <v>19</v>
      </c>
      <c r="D6" s="12" t="s">
        <v>78</v>
      </c>
      <c r="E6" s="11">
        <f>26.48*12*H6</f>
        <v>404889.79200000002</v>
      </c>
      <c r="G6" s="17">
        <v>78.349999999999994</v>
      </c>
      <c r="H6" s="3">
        <v>1274.2</v>
      </c>
    </row>
    <row r="7" spans="1:9">
      <c r="A7" s="4"/>
      <c r="B7" s="4"/>
      <c r="C7" s="12"/>
      <c r="D7" s="12"/>
      <c r="E7" s="12"/>
      <c r="H7" s="3">
        <v>1274.2</v>
      </c>
    </row>
    <row r="8" spans="1:9">
      <c r="A8" s="4"/>
      <c r="B8" s="91" t="s">
        <v>6</v>
      </c>
      <c r="C8" s="92"/>
      <c r="D8" s="92"/>
      <c r="E8" s="93"/>
      <c r="H8" s="3">
        <v>1274.2</v>
      </c>
    </row>
    <row r="9" spans="1:9">
      <c r="A9" s="4"/>
      <c r="B9" s="7" t="s">
        <v>8</v>
      </c>
      <c r="C9" s="12" t="s">
        <v>19</v>
      </c>
      <c r="D9" s="12" t="s">
        <v>30</v>
      </c>
      <c r="E9" s="19">
        <f>2.31*12*H9</f>
        <v>35320.824000000001</v>
      </c>
      <c r="G9" s="17">
        <v>12.62</v>
      </c>
      <c r="H9" s="3">
        <v>1274.2</v>
      </c>
      <c r="I9" s="73"/>
    </row>
    <row r="10" spans="1:9">
      <c r="A10" s="4"/>
      <c r="B10" s="7" t="s">
        <v>7</v>
      </c>
      <c r="C10" s="12" t="s">
        <v>19</v>
      </c>
      <c r="D10" s="28"/>
      <c r="E10" s="19">
        <f>2.84*12*H10</f>
        <v>43424.735999999997</v>
      </c>
      <c r="G10" s="17"/>
      <c r="H10" s="3">
        <v>1274.2</v>
      </c>
      <c r="I10" s="73"/>
    </row>
    <row r="11" spans="1:9">
      <c r="A11" s="4"/>
      <c r="B11" s="7" t="s">
        <v>9</v>
      </c>
      <c r="C11" s="12" t="s">
        <v>19</v>
      </c>
      <c r="D11" s="12" t="s">
        <v>31</v>
      </c>
      <c r="E11" s="19">
        <f>4.15*12*H11</f>
        <v>63455.160000000011</v>
      </c>
      <c r="G11" s="17">
        <v>15.55</v>
      </c>
      <c r="H11" s="3">
        <v>1274.2</v>
      </c>
      <c r="I11" s="73"/>
    </row>
    <row r="12" spans="1:9">
      <c r="A12" s="4"/>
      <c r="B12" s="7" t="s">
        <v>10</v>
      </c>
      <c r="C12" s="12" t="s">
        <v>19</v>
      </c>
      <c r="D12" s="29" t="s">
        <v>32</v>
      </c>
      <c r="E12" s="19">
        <f>1.96*12*H12</f>
        <v>29969.184000000001</v>
      </c>
      <c r="G12" s="17">
        <v>11.46</v>
      </c>
      <c r="H12" s="3">
        <v>1274.2</v>
      </c>
      <c r="I12" s="73"/>
    </row>
    <row r="13" spans="1:9">
      <c r="A13" s="4"/>
      <c r="B13" s="7" t="s">
        <v>11</v>
      </c>
      <c r="C13" s="12" t="s">
        <v>19</v>
      </c>
      <c r="D13" s="28" t="s">
        <v>33</v>
      </c>
      <c r="E13" s="19">
        <f>2.93*12*H13</f>
        <v>44800.872000000003</v>
      </c>
      <c r="G13" s="17">
        <v>13.98</v>
      </c>
      <c r="H13" s="3">
        <v>1274.2</v>
      </c>
      <c r="I13" s="73"/>
    </row>
    <row r="14" spans="1:9">
      <c r="A14" s="4"/>
      <c r="B14" s="7" t="s">
        <v>12</v>
      </c>
      <c r="C14" s="12" t="s">
        <v>19</v>
      </c>
      <c r="D14" s="28" t="s">
        <v>33</v>
      </c>
      <c r="E14" s="19">
        <f>2.26*12*H14</f>
        <v>34556.303999999996</v>
      </c>
      <c r="G14" s="17">
        <v>8.1199999999999992</v>
      </c>
      <c r="H14" s="3">
        <v>1274.2</v>
      </c>
      <c r="I14" s="73"/>
    </row>
    <row r="15" spans="1:9" ht="48">
      <c r="A15" s="4"/>
      <c r="B15" s="30" t="s">
        <v>34</v>
      </c>
      <c r="C15" s="31" t="s">
        <v>19</v>
      </c>
      <c r="D15" s="31" t="s">
        <v>32</v>
      </c>
      <c r="E15" s="31">
        <f>9.47*12*H15</f>
        <v>144800.08800000002</v>
      </c>
      <c r="G15" s="17">
        <v>18.14</v>
      </c>
      <c r="H15" s="3">
        <v>1274.2</v>
      </c>
      <c r="I15" s="73"/>
    </row>
    <row r="16" spans="1:9">
      <c r="A16" s="4"/>
      <c r="B16" s="7" t="s">
        <v>17</v>
      </c>
      <c r="C16" s="12" t="s">
        <v>19</v>
      </c>
      <c r="D16" s="12" t="s">
        <v>33</v>
      </c>
      <c r="E16" s="19">
        <f>0.19*12*H16</f>
        <v>2905.1760000000004</v>
      </c>
      <c r="F16" s="15"/>
      <c r="G16" s="17">
        <v>0.41</v>
      </c>
      <c r="H16" s="3">
        <v>1274.2</v>
      </c>
      <c r="I16" s="73"/>
    </row>
    <row r="17" spans="1:9">
      <c r="A17" s="4"/>
      <c r="B17" s="7" t="s">
        <v>18</v>
      </c>
      <c r="C17" s="12" t="s">
        <v>19</v>
      </c>
      <c r="D17" s="12" t="s">
        <v>30</v>
      </c>
      <c r="E17" s="19">
        <f>0.37*12*H17</f>
        <v>5657.4479999999994</v>
      </c>
      <c r="G17" s="17">
        <v>2.52</v>
      </c>
      <c r="H17" s="3">
        <v>1274.2</v>
      </c>
      <c r="I17" s="73"/>
    </row>
    <row r="18" spans="1:9">
      <c r="A18" s="4"/>
      <c r="B18" s="8" t="s">
        <v>13</v>
      </c>
      <c r="C18" s="12" t="s">
        <v>19</v>
      </c>
      <c r="D18" s="12"/>
      <c r="E18" s="10">
        <f>E17+E16+E15+E14+E13+E12+E11+E10+E9</f>
        <v>404889.79200000007</v>
      </c>
      <c r="F18" s="15"/>
      <c r="G18" s="17" t="e">
        <f>G17+G16+G15+G14+G13+G12+G11+G10+G9+#REF!+#REF!</f>
        <v>#REF!</v>
      </c>
    </row>
    <row r="19" spans="1:9">
      <c r="A19" s="4"/>
      <c r="B19" s="5" t="s">
        <v>14</v>
      </c>
      <c r="C19" s="12" t="s">
        <v>19</v>
      </c>
      <c r="D19" s="12"/>
      <c r="E19" s="10">
        <f>E6-E18</f>
        <v>0</v>
      </c>
    </row>
    <row r="20" spans="1:9">
      <c r="A20" s="4"/>
      <c r="B20" s="91" t="s">
        <v>15</v>
      </c>
      <c r="C20" s="92"/>
      <c r="D20" s="92"/>
      <c r="E20" s="93"/>
    </row>
    <row r="21" spans="1:9">
      <c r="A21" s="4"/>
      <c r="B21" s="5" t="s">
        <v>16</v>
      </c>
      <c r="C21" s="12" t="s">
        <v>19</v>
      </c>
      <c r="D21" s="12"/>
      <c r="E21" s="10"/>
    </row>
    <row r="22" spans="1:9">
      <c r="A22" s="68"/>
      <c r="B22" s="22" t="s">
        <v>77</v>
      </c>
      <c r="C22" s="12" t="s">
        <v>19</v>
      </c>
      <c r="D22" s="12"/>
      <c r="E22" s="21">
        <v>13000</v>
      </c>
    </row>
    <row r="23" spans="1:9">
      <c r="B23" s="12" t="s">
        <v>25</v>
      </c>
      <c r="C23" s="12" t="s">
        <v>19</v>
      </c>
      <c r="D23" s="12"/>
      <c r="E23" s="11">
        <f>E22</f>
        <v>13000</v>
      </c>
    </row>
    <row r="24" spans="1:9">
      <c r="B24" s="5" t="s">
        <v>14</v>
      </c>
      <c r="C24" s="12" t="s">
        <v>19</v>
      </c>
      <c r="D24" s="12"/>
      <c r="E24" s="20">
        <f>E5-E18-E23</f>
        <v>-13000.000000000058</v>
      </c>
    </row>
  </sheetData>
  <mergeCells count="3">
    <mergeCell ref="A2:E2"/>
    <mergeCell ref="B8:E8"/>
    <mergeCell ref="B20:E20"/>
  </mergeCells>
  <phoneticPr fontId="6" type="noConversion"/>
  <pageMargins left="0.75" right="0.75" top="1" bottom="1" header="0.5" footer="0.5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24"/>
  <sheetViews>
    <sheetView topLeftCell="A4" workbookViewId="0">
      <selection activeCell="E9" sqref="E9"/>
    </sheetView>
  </sheetViews>
  <sheetFormatPr defaultColWidth="8.85546875" defaultRowHeight="12"/>
  <cols>
    <col min="1" max="1" width="2.85546875" style="3" customWidth="1"/>
    <col min="2" max="2" width="44.5703125" style="3" customWidth="1"/>
    <col min="3" max="3" width="10" style="13" customWidth="1"/>
    <col min="4" max="4" width="15.5703125" style="13" customWidth="1"/>
    <col min="5" max="5" width="14.7109375" style="13" customWidth="1"/>
    <col min="6" max="6" width="8.85546875" style="3"/>
    <col min="7" max="7" width="8.7109375" style="3" hidden="1" customWidth="1"/>
    <col min="8" max="8" width="7.42578125" style="3" hidden="1" customWidth="1"/>
    <col min="9" max="16384" width="8.85546875" style="3"/>
  </cols>
  <sheetData>
    <row r="1" spans="1:9">
      <c r="A1" s="1"/>
      <c r="B1" s="1"/>
      <c r="C1" s="9"/>
      <c r="D1" s="9"/>
      <c r="E1" s="2"/>
    </row>
    <row r="2" spans="1:9" ht="17.25" customHeight="1">
      <c r="A2" s="90" t="s">
        <v>26</v>
      </c>
      <c r="B2" s="90"/>
      <c r="C2" s="90"/>
      <c r="D2" s="90"/>
      <c r="E2" s="90"/>
    </row>
    <row r="3" spans="1:9">
      <c r="A3" s="1"/>
      <c r="B3" s="1"/>
      <c r="C3" s="9"/>
      <c r="D3" s="9"/>
      <c r="E3" s="9"/>
    </row>
    <row r="4" spans="1:9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9">
      <c r="A5" s="4"/>
      <c r="B5" s="5" t="s">
        <v>27</v>
      </c>
      <c r="C5" s="12" t="s">
        <v>19</v>
      </c>
      <c r="D5" s="12"/>
      <c r="E5" s="10">
        <f>E6</f>
        <v>406383.26400000002</v>
      </c>
    </row>
    <row r="6" spans="1:9">
      <c r="A6" s="4"/>
      <c r="B6" s="6" t="s">
        <v>4</v>
      </c>
      <c r="C6" s="12" t="s">
        <v>19</v>
      </c>
      <c r="D6" s="12" t="s">
        <v>78</v>
      </c>
      <c r="E6" s="11">
        <f>26.48*12*H6</f>
        <v>406383.26400000002</v>
      </c>
      <c r="G6" s="17">
        <v>78.349999999999994</v>
      </c>
      <c r="H6" s="3">
        <v>1278.9000000000001</v>
      </c>
    </row>
    <row r="7" spans="1:9">
      <c r="A7" s="4"/>
      <c r="B7" s="4"/>
      <c r="C7" s="12"/>
      <c r="D7" s="12"/>
      <c r="E7" s="12"/>
      <c r="H7" s="3">
        <v>1278.9000000000001</v>
      </c>
    </row>
    <row r="8" spans="1:9">
      <c r="A8" s="4"/>
      <c r="B8" s="91" t="s">
        <v>6</v>
      </c>
      <c r="C8" s="92"/>
      <c r="D8" s="92"/>
      <c r="E8" s="93"/>
      <c r="H8" s="3">
        <v>1278.9000000000001</v>
      </c>
    </row>
    <row r="9" spans="1:9">
      <c r="A9" s="4"/>
      <c r="B9" s="7" t="s">
        <v>8</v>
      </c>
      <c r="C9" s="12" t="s">
        <v>19</v>
      </c>
      <c r="D9" s="12" t="s">
        <v>30</v>
      </c>
      <c r="E9" s="19">
        <f>2.31*12*H9</f>
        <v>35451.108</v>
      </c>
      <c r="G9" s="17">
        <v>12.62</v>
      </c>
      <c r="H9" s="3">
        <v>1278.9000000000001</v>
      </c>
      <c r="I9" s="73"/>
    </row>
    <row r="10" spans="1:9">
      <c r="A10" s="4"/>
      <c r="B10" s="7" t="s">
        <v>7</v>
      </c>
      <c r="C10" s="12" t="s">
        <v>19</v>
      </c>
      <c r="D10" s="28"/>
      <c r="E10" s="19">
        <f>2.84*12*H10</f>
        <v>43584.912000000004</v>
      </c>
      <c r="G10" s="17"/>
      <c r="H10" s="3">
        <v>1278.9000000000001</v>
      </c>
      <c r="I10" s="73"/>
    </row>
    <row r="11" spans="1:9">
      <c r="A11" s="4"/>
      <c r="B11" s="7" t="s">
        <v>9</v>
      </c>
      <c r="C11" s="12" t="s">
        <v>19</v>
      </c>
      <c r="D11" s="12" t="s">
        <v>31</v>
      </c>
      <c r="E11" s="19">
        <f>4.15*12*H11</f>
        <v>63689.220000000008</v>
      </c>
      <c r="G11" s="17">
        <v>15.55</v>
      </c>
      <c r="H11" s="3">
        <v>1278.9000000000001</v>
      </c>
      <c r="I11" s="73"/>
    </row>
    <row r="12" spans="1:9">
      <c r="A12" s="4"/>
      <c r="B12" s="7" t="s">
        <v>10</v>
      </c>
      <c r="C12" s="12" t="s">
        <v>19</v>
      </c>
      <c r="D12" s="29" t="s">
        <v>32</v>
      </c>
      <c r="E12" s="19">
        <f>1.96*12*H12</f>
        <v>30079.728000000003</v>
      </c>
      <c r="G12" s="17">
        <v>11.46</v>
      </c>
      <c r="H12" s="3">
        <v>1278.9000000000001</v>
      </c>
      <c r="I12" s="73"/>
    </row>
    <row r="13" spans="1:9">
      <c r="A13" s="4"/>
      <c r="B13" s="7" t="s">
        <v>11</v>
      </c>
      <c r="C13" s="12" t="s">
        <v>19</v>
      </c>
      <c r="D13" s="28" t="s">
        <v>33</v>
      </c>
      <c r="E13" s="19">
        <f>2.93*12*H13</f>
        <v>44966.124000000011</v>
      </c>
      <c r="G13" s="17">
        <v>13.98</v>
      </c>
      <c r="H13" s="3">
        <v>1278.9000000000001</v>
      </c>
      <c r="I13" s="73"/>
    </row>
    <row r="14" spans="1:9">
      <c r="A14" s="4"/>
      <c r="B14" s="7" t="s">
        <v>12</v>
      </c>
      <c r="C14" s="12" t="s">
        <v>19</v>
      </c>
      <c r="D14" s="28" t="s">
        <v>33</v>
      </c>
      <c r="E14" s="19">
        <f>2.26*12*H14</f>
        <v>34683.767999999996</v>
      </c>
      <c r="G14" s="17">
        <v>8.1199999999999992</v>
      </c>
      <c r="H14" s="3">
        <v>1278.9000000000001</v>
      </c>
      <c r="I14" s="73"/>
    </row>
    <row r="15" spans="1:9" ht="48">
      <c r="A15" s="4"/>
      <c r="B15" s="30" t="s">
        <v>34</v>
      </c>
      <c r="C15" s="31" t="s">
        <v>19</v>
      </c>
      <c r="D15" s="31" t="s">
        <v>32</v>
      </c>
      <c r="E15" s="31">
        <f>9.47*12*H15</f>
        <v>145334.19600000003</v>
      </c>
      <c r="G15" s="17">
        <v>18.14</v>
      </c>
      <c r="H15" s="3">
        <v>1278.9000000000001</v>
      </c>
      <c r="I15" s="73"/>
    </row>
    <row r="16" spans="1:9">
      <c r="A16" s="4"/>
      <c r="B16" s="7" t="s">
        <v>17</v>
      </c>
      <c r="C16" s="12" t="s">
        <v>19</v>
      </c>
      <c r="D16" s="12" t="s">
        <v>33</v>
      </c>
      <c r="E16" s="19">
        <f>0.19*12*H16</f>
        <v>2915.8920000000007</v>
      </c>
      <c r="F16" s="15"/>
      <c r="G16" s="17">
        <v>0.41</v>
      </c>
      <c r="H16" s="3">
        <v>1278.9000000000001</v>
      </c>
      <c r="I16" s="73"/>
    </row>
    <row r="17" spans="1:9">
      <c r="A17" s="4"/>
      <c r="B17" s="7" t="s">
        <v>18</v>
      </c>
      <c r="C17" s="12" t="s">
        <v>19</v>
      </c>
      <c r="D17" s="12" t="s">
        <v>30</v>
      </c>
      <c r="E17" s="19">
        <f>0.37*12*H17</f>
        <v>5678.3159999999998</v>
      </c>
      <c r="G17" s="17">
        <v>2.52</v>
      </c>
      <c r="H17" s="3">
        <v>1278.9000000000001</v>
      </c>
      <c r="I17" s="73"/>
    </row>
    <row r="18" spans="1:9">
      <c r="A18" s="4"/>
      <c r="B18" s="8" t="s">
        <v>13</v>
      </c>
      <c r="C18" s="12" t="s">
        <v>19</v>
      </c>
      <c r="D18" s="12"/>
      <c r="E18" s="10">
        <f>E17+E16+E15+E14+E13+E12+E11+E10+E9</f>
        <v>406383.26400000008</v>
      </c>
      <c r="F18" s="15"/>
      <c r="G18" s="17" t="e">
        <f>G17+G16+G15+G14+G13+G12+G11+G10+G9+#REF!+#REF!</f>
        <v>#REF!</v>
      </c>
    </row>
    <row r="19" spans="1:9">
      <c r="A19" s="4"/>
      <c r="B19" s="5" t="s">
        <v>14</v>
      </c>
      <c r="C19" s="12" t="s">
        <v>19</v>
      </c>
      <c r="D19" s="12"/>
      <c r="E19" s="10">
        <f>E6-E18</f>
        <v>0</v>
      </c>
    </row>
    <row r="20" spans="1:9">
      <c r="A20" s="4"/>
      <c r="B20" s="91" t="s">
        <v>15</v>
      </c>
      <c r="C20" s="92"/>
      <c r="D20" s="92"/>
      <c r="E20" s="93"/>
    </row>
    <row r="21" spans="1:9">
      <c r="A21" s="4"/>
      <c r="B21" s="5" t="s">
        <v>16</v>
      </c>
      <c r="C21" s="12" t="s">
        <v>19</v>
      </c>
      <c r="D21" s="12"/>
      <c r="E21" s="10"/>
    </row>
    <row r="22" spans="1:9">
      <c r="A22" s="68"/>
      <c r="B22" s="22" t="s">
        <v>77</v>
      </c>
      <c r="C22" s="12" t="s">
        <v>19</v>
      </c>
      <c r="D22" s="12"/>
      <c r="E22" s="21">
        <v>13000</v>
      </c>
    </row>
    <row r="23" spans="1:9">
      <c r="B23" s="12" t="s">
        <v>25</v>
      </c>
      <c r="C23" s="12" t="s">
        <v>19</v>
      </c>
      <c r="D23" s="12"/>
      <c r="E23" s="11">
        <f>E22</f>
        <v>13000</v>
      </c>
    </row>
    <row r="24" spans="1:9">
      <c r="B24" s="5" t="s">
        <v>14</v>
      </c>
      <c r="C24" s="12" t="s">
        <v>19</v>
      </c>
      <c r="D24" s="12"/>
      <c r="E24" s="20">
        <f>E5-E18-E23</f>
        <v>-13000.000000000058</v>
      </c>
    </row>
  </sheetData>
  <mergeCells count="3">
    <mergeCell ref="A2:E2"/>
    <mergeCell ref="B8:E8"/>
    <mergeCell ref="B20:E20"/>
  </mergeCells>
  <phoneticPr fontId="6" type="noConversion"/>
  <pageMargins left="0.75" right="0.75" top="1" bottom="1" header="0.5" footer="0.5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24"/>
  <sheetViews>
    <sheetView workbookViewId="0">
      <selection activeCell="A2" sqref="A2:E2"/>
    </sheetView>
  </sheetViews>
  <sheetFormatPr defaultColWidth="8.85546875" defaultRowHeight="12"/>
  <cols>
    <col min="1" max="1" width="2.85546875" style="3" customWidth="1"/>
    <col min="2" max="2" width="44.5703125" style="3" customWidth="1"/>
    <col min="3" max="3" width="10" style="13" customWidth="1"/>
    <col min="4" max="4" width="15.5703125" style="13" customWidth="1"/>
    <col min="5" max="5" width="14.7109375" style="13" customWidth="1"/>
    <col min="6" max="6" width="8.85546875" style="3"/>
    <col min="7" max="7" width="8.7109375" style="3" hidden="1" customWidth="1"/>
    <col min="8" max="8" width="11.85546875" style="3" hidden="1" customWidth="1"/>
    <col min="9" max="16384" width="8.85546875" style="3"/>
  </cols>
  <sheetData>
    <row r="1" spans="1:9">
      <c r="A1" s="1"/>
      <c r="B1" s="1"/>
      <c r="C1" s="9"/>
      <c r="D1" s="9"/>
      <c r="E1" s="2"/>
    </row>
    <row r="2" spans="1:9" ht="17.25" customHeight="1">
      <c r="A2" s="90" t="s">
        <v>26</v>
      </c>
      <c r="B2" s="90"/>
      <c r="C2" s="90"/>
      <c r="D2" s="90"/>
      <c r="E2" s="90"/>
    </row>
    <row r="3" spans="1:9">
      <c r="A3" s="1"/>
      <c r="B3" s="1"/>
      <c r="C3" s="9"/>
      <c r="D3" s="9"/>
      <c r="E3" s="9"/>
    </row>
    <row r="4" spans="1:9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9">
      <c r="A5" s="4"/>
      <c r="B5" s="5" t="s">
        <v>27</v>
      </c>
      <c r="C5" s="12" t="s">
        <v>19</v>
      </c>
      <c r="D5" s="12"/>
      <c r="E5" s="10">
        <f>E6</f>
        <v>406383.26400000002</v>
      </c>
    </row>
    <row r="6" spans="1:9">
      <c r="A6" s="4"/>
      <c r="B6" s="6" t="s">
        <v>4</v>
      </c>
      <c r="C6" s="12" t="s">
        <v>19</v>
      </c>
      <c r="D6" s="12" t="s">
        <v>78</v>
      </c>
      <c r="E6" s="11">
        <f>26.48*12*H6</f>
        <v>406383.26400000002</v>
      </c>
      <c r="G6" s="17">
        <v>78.349999999999994</v>
      </c>
      <c r="H6" s="3">
        <v>1278.9000000000001</v>
      </c>
    </row>
    <row r="7" spans="1:9">
      <c r="A7" s="4"/>
      <c r="B7" s="4"/>
      <c r="C7" s="12"/>
      <c r="D7" s="12"/>
      <c r="E7" s="12"/>
      <c r="H7" s="3">
        <v>1278.9000000000001</v>
      </c>
    </row>
    <row r="8" spans="1:9">
      <c r="A8" s="4"/>
      <c r="B8" s="91" t="s">
        <v>6</v>
      </c>
      <c r="C8" s="92"/>
      <c r="D8" s="92"/>
      <c r="E8" s="93"/>
      <c r="H8" s="3">
        <v>1278.9000000000001</v>
      </c>
    </row>
    <row r="9" spans="1:9">
      <c r="A9" s="4"/>
      <c r="B9" s="7" t="s">
        <v>8</v>
      </c>
      <c r="C9" s="12" t="s">
        <v>19</v>
      </c>
      <c r="D9" s="12" t="s">
        <v>30</v>
      </c>
      <c r="E9" s="19">
        <f>2.31*12*H9</f>
        <v>35451.108</v>
      </c>
      <c r="G9" s="17">
        <v>12.62</v>
      </c>
      <c r="H9" s="3">
        <v>1278.9000000000001</v>
      </c>
      <c r="I9" s="73"/>
    </row>
    <row r="10" spans="1:9">
      <c r="A10" s="4"/>
      <c r="B10" s="7" t="s">
        <v>7</v>
      </c>
      <c r="C10" s="12" t="s">
        <v>19</v>
      </c>
      <c r="D10" s="28"/>
      <c r="E10" s="19">
        <f>2.84*12*H10</f>
        <v>43584.912000000004</v>
      </c>
      <c r="G10" s="17"/>
      <c r="H10" s="3">
        <v>1278.9000000000001</v>
      </c>
      <c r="I10" s="73"/>
    </row>
    <row r="11" spans="1:9">
      <c r="A11" s="4"/>
      <c r="B11" s="7" t="s">
        <v>9</v>
      </c>
      <c r="C11" s="12" t="s">
        <v>19</v>
      </c>
      <c r="D11" s="12" t="s">
        <v>31</v>
      </c>
      <c r="E11" s="19">
        <f>4.15*12*H11</f>
        <v>63689.220000000008</v>
      </c>
      <c r="G11" s="17">
        <v>15.55</v>
      </c>
      <c r="H11" s="3">
        <v>1278.9000000000001</v>
      </c>
      <c r="I11" s="73"/>
    </row>
    <row r="12" spans="1:9">
      <c r="A12" s="4"/>
      <c r="B12" s="7" t="s">
        <v>10</v>
      </c>
      <c r="C12" s="12" t="s">
        <v>19</v>
      </c>
      <c r="D12" s="29" t="s">
        <v>32</v>
      </c>
      <c r="E12" s="19">
        <f>1.96*12*H12</f>
        <v>30079.728000000003</v>
      </c>
      <c r="G12" s="17">
        <v>11.46</v>
      </c>
      <c r="H12" s="3">
        <v>1278.9000000000001</v>
      </c>
      <c r="I12" s="73"/>
    </row>
    <row r="13" spans="1:9">
      <c r="A13" s="4"/>
      <c r="B13" s="7" t="s">
        <v>11</v>
      </c>
      <c r="C13" s="12" t="s">
        <v>19</v>
      </c>
      <c r="D13" s="28" t="s">
        <v>33</v>
      </c>
      <c r="E13" s="19">
        <f>2.93*12*H13</f>
        <v>44966.124000000011</v>
      </c>
      <c r="G13" s="17">
        <v>13.98</v>
      </c>
      <c r="H13" s="3">
        <v>1278.9000000000001</v>
      </c>
      <c r="I13" s="73"/>
    </row>
    <row r="14" spans="1:9">
      <c r="A14" s="4"/>
      <c r="B14" s="7" t="s">
        <v>12</v>
      </c>
      <c r="C14" s="12" t="s">
        <v>19</v>
      </c>
      <c r="D14" s="28" t="s">
        <v>33</v>
      </c>
      <c r="E14" s="19">
        <f>2.26*12*H14</f>
        <v>34683.767999999996</v>
      </c>
      <c r="G14" s="17">
        <v>8.1199999999999992</v>
      </c>
      <c r="H14" s="3">
        <v>1278.9000000000001</v>
      </c>
      <c r="I14" s="73"/>
    </row>
    <row r="15" spans="1:9" ht="48">
      <c r="A15" s="4"/>
      <c r="B15" s="30" t="s">
        <v>34</v>
      </c>
      <c r="C15" s="31" t="s">
        <v>19</v>
      </c>
      <c r="D15" s="31" t="s">
        <v>32</v>
      </c>
      <c r="E15" s="31">
        <f>9.47*12*H15</f>
        <v>145334.19600000003</v>
      </c>
      <c r="G15" s="17">
        <v>18.14</v>
      </c>
      <c r="H15" s="3">
        <v>1278.9000000000001</v>
      </c>
      <c r="I15" s="73"/>
    </row>
    <row r="16" spans="1:9">
      <c r="A16" s="4"/>
      <c r="B16" s="7" t="s">
        <v>17</v>
      </c>
      <c r="C16" s="12" t="s">
        <v>19</v>
      </c>
      <c r="D16" s="12" t="s">
        <v>33</v>
      </c>
      <c r="E16" s="19">
        <f>0.19*12*H16</f>
        <v>2915.8920000000007</v>
      </c>
      <c r="F16" s="15"/>
      <c r="G16" s="17">
        <v>0.41</v>
      </c>
      <c r="H16" s="3">
        <v>1278.9000000000001</v>
      </c>
      <c r="I16" s="73"/>
    </row>
    <row r="17" spans="1:9">
      <c r="A17" s="4"/>
      <c r="B17" s="7" t="s">
        <v>18</v>
      </c>
      <c r="C17" s="12" t="s">
        <v>19</v>
      </c>
      <c r="D17" s="12" t="s">
        <v>30</v>
      </c>
      <c r="E17" s="19">
        <f>0.37*12*H17</f>
        <v>5678.3159999999998</v>
      </c>
      <c r="G17" s="17">
        <v>2.52</v>
      </c>
      <c r="H17" s="3">
        <v>1278.9000000000001</v>
      </c>
      <c r="I17" s="73"/>
    </row>
    <row r="18" spans="1:9">
      <c r="A18" s="4"/>
      <c r="B18" s="8" t="s">
        <v>13</v>
      </c>
      <c r="C18" s="12" t="s">
        <v>19</v>
      </c>
      <c r="D18" s="12"/>
      <c r="E18" s="10">
        <f>E17+E16+E15+E14+E13+E12+E11+E10+E9</f>
        <v>406383.26400000008</v>
      </c>
      <c r="F18" s="15"/>
      <c r="G18" s="17" t="e">
        <f>G17+G16+G15+G14+G13+G12+G11+G10+G9+#REF!+#REF!</f>
        <v>#REF!</v>
      </c>
    </row>
    <row r="19" spans="1:9">
      <c r="A19" s="4"/>
      <c r="B19" s="5" t="s">
        <v>14</v>
      </c>
      <c r="C19" s="12" t="s">
        <v>19</v>
      </c>
      <c r="D19" s="12"/>
      <c r="E19" s="10">
        <f>E6-E18</f>
        <v>0</v>
      </c>
    </row>
    <row r="20" spans="1:9">
      <c r="A20" s="4"/>
      <c r="B20" s="91" t="s">
        <v>15</v>
      </c>
      <c r="C20" s="92"/>
      <c r="D20" s="92"/>
      <c r="E20" s="93"/>
    </row>
    <row r="21" spans="1:9">
      <c r="A21" s="4"/>
      <c r="B21" s="5" t="s">
        <v>16</v>
      </c>
      <c r="C21" s="12" t="s">
        <v>19</v>
      </c>
      <c r="D21" s="12"/>
      <c r="E21" s="10"/>
    </row>
    <row r="22" spans="1:9">
      <c r="A22" s="68"/>
      <c r="B22" s="22" t="s">
        <v>77</v>
      </c>
      <c r="C22" s="12" t="s">
        <v>19</v>
      </c>
      <c r="D22" s="12"/>
      <c r="E22" s="21">
        <v>13000</v>
      </c>
    </row>
    <row r="23" spans="1:9">
      <c r="B23" s="12" t="s">
        <v>25</v>
      </c>
      <c r="C23" s="12" t="s">
        <v>19</v>
      </c>
      <c r="D23" s="12"/>
      <c r="E23" s="11">
        <f>E22</f>
        <v>13000</v>
      </c>
    </row>
    <row r="24" spans="1:9">
      <c r="B24" s="5" t="s">
        <v>14</v>
      </c>
      <c r="C24" s="12" t="s">
        <v>19</v>
      </c>
      <c r="D24" s="12"/>
      <c r="E24" s="20">
        <f>E5-E18-E23</f>
        <v>-13000.000000000058</v>
      </c>
    </row>
  </sheetData>
  <mergeCells count="3">
    <mergeCell ref="A2:E2"/>
    <mergeCell ref="B8:E8"/>
    <mergeCell ref="B20:E20"/>
  </mergeCells>
  <phoneticPr fontId="6" type="noConversion"/>
  <pageMargins left="0.75" right="0.75" top="1" bottom="1" header="0.5" footer="0.5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24"/>
  <sheetViews>
    <sheetView workbookViewId="0">
      <selection activeCell="H1" sqref="H1:H65536"/>
    </sheetView>
  </sheetViews>
  <sheetFormatPr defaultColWidth="8.85546875" defaultRowHeight="12"/>
  <cols>
    <col min="1" max="1" width="2.85546875" style="3" customWidth="1"/>
    <col min="2" max="2" width="44.5703125" style="3" customWidth="1"/>
    <col min="3" max="3" width="10" style="13" customWidth="1"/>
    <col min="4" max="4" width="15.5703125" style="13" customWidth="1"/>
    <col min="5" max="5" width="14.7109375" style="13" customWidth="1"/>
    <col min="6" max="6" width="8.85546875" style="3"/>
    <col min="7" max="7" width="8.7109375" style="3" hidden="1" customWidth="1"/>
    <col min="8" max="8" width="14.28515625" style="3" hidden="1" customWidth="1"/>
    <col min="9" max="16384" width="8.85546875" style="3"/>
  </cols>
  <sheetData>
    <row r="1" spans="1:9">
      <c r="A1" s="1"/>
      <c r="B1" s="1"/>
      <c r="C1" s="9"/>
      <c r="D1" s="9"/>
      <c r="E1" s="2"/>
    </row>
    <row r="2" spans="1:9" ht="17.25" customHeight="1">
      <c r="A2" s="90" t="s">
        <v>26</v>
      </c>
      <c r="B2" s="90"/>
      <c r="C2" s="90"/>
      <c r="D2" s="90"/>
      <c r="E2" s="90"/>
    </row>
    <row r="3" spans="1:9">
      <c r="A3" s="1"/>
      <c r="B3" s="1"/>
      <c r="C3" s="9"/>
      <c r="D3" s="9"/>
      <c r="E3" s="9"/>
    </row>
    <row r="4" spans="1:9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9">
      <c r="A5" s="4"/>
      <c r="B5" s="5" t="s">
        <v>27</v>
      </c>
      <c r="C5" s="12" t="s">
        <v>19</v>
      </c>
      <c r="D5" s="12"/>
      <c r="E5" s="10">
        <f>E6</f>
        <v>406383.26400000002</v>
      </c>
    </row>
    <row r="6" spans="1:9">
      <c r="A6" s="4"/>
      <c r="B6" s="6" t="s">
        <v>4</v>
      </c>
      <c r="C6" s="12" t="s">
        <v>19</v>
      </c>
      <c r="D6" s="12" t="s">
        <v>78</v>
      </c>
      <c r="E6" s="11">
        <f>26.48*12*H6</f>
        <v>406383.26400000002</v>
      </c>
      <c r="G6" s="17">
        <v>78.349999999999994</v>
      </c>
      <c r="H6" s="3">
        <v>1278.9000000000001</v>
      </c>
    </row>
    <row r="7" spans="1:9">
      <c r="A7" s="4"/>
      <c r="B7" s="4"/>
      <c r="C7" s="12"/>
      <c r="D7" s="12"/>
      <c r="E7" s="12"/>
      <c r="H7" s="3">
        <v>1278.9000000000001</v>
      </c>
    </row>
    <row r="8" spans="1:9">
      <c r="A8" s="4"/>
      <c r="B8" s="91" t="s">
        <v>6</v>
      </c>
      <c r="C8" s="92"/>
      <c r="D8" s="92"/>
      <c r="E8" s="93"/>
      <c r="H8" s="3">
        <v>1278.9000000000001</v>
      </c>
    </row>
    <row r="9" spans="1:9">
      <c r="A9" s="4"/>
      <c r="B9" s="7" t="s">
        <v>8</v>
      </c>
      <c r="C9" s="12" t="s">
        <v>19</v>
      </c>
      <c r="D9" s="12" t="s">
        <v>30</v>
      </c>
      <c r="E9" s="19">
        <f>2.31*12*H9</f>
        <v>35451.108</v>
      </c>
      <c r="G9" s="17">
        <v>12.62</v>
      </c>
      <c r="H9" s="3">
        <v>1278.9000000000001</v>
      </c>
      <c r="I9" s="73"/>
    </row>
    <row r="10" spans="1:9">
      <c r="A10" s="4"/>
      <c r="B10" s="7" t="s">
        <v>7</v>
      </c>
      <c r="C10" s="12" t="s">
        <v>19</v>
      </c>
      <c r="D10" s="28"/>
      <c r="E10" s="19">
        <f>2.84*12*H10</f>
        <v>43584.912000000004</v>
      </c>
      <c r="G10" s="17"/>
      <c r="H10" s="3">
        <v>1278.9000000000001</v>
      </c>
      <c r="I10" s="73"/>
    </row>
    <row r="11" spans="1:9">
      <c r="A11" s="4"/>
      <c r="B11" s="7" t="s">
        <v>9</v>
      </c>
      <c r="C11" s="12" t="s">
        <v>19</v>
      </c>
      <c r="D11" s="12" t="s">
        <v>31</v>
      </c>
      <c r="E11" s="19">
        <f>4.15*12*H11</f>
        <v>63689.220000000008</v>
      </c>
      <c r="G11" s="17">
        <v>15.55</v>
      </c>
      <c r="H11" s="3">
        <v>1278.9000000000001</v>
      </c>
      <c r="I11" s="73"/>
    </row>
    <row r="12" spans="1:9">
      <c r="A12" s="4"/>
      <c r="B12" s="7" t="s">
        <v>10</v>
      </c>
      <c r="C12" s="12" t="s">
        <v>19</v>
      </c>
      <c r="D12" s="29" t="s">
        <v>32</v>
      </c>
      <c r="E12" s="19">
        <f>1.96*12*H12</f>
        <v>30079.728000000003</v>
      </c>
      <c r="G12" s="17">
        <v>11.46</v>
      </c>
      <c r="H12" s="3">
        <v>1278.9000000000001</v>
      </c>
      <c r="I12" s="73"/>
    </row>
    <row r="13" spans="1:9">
      <c r="A13" s="4"/>
      <c r="B13" s="7" t="s">
        <v>11</v>
      </c>
      <c r="C13" s="12" t="s">
        <v>19</v>
      </c>
      <c r="D13" s="28" t="s">
        <v>33</v>
      </c>
      <c r="E13" s="19">
        <f>2.93*12*H13</f>
        <v>44966.124000000011</v>
      </c>
      <c r="G13" s="17">
        <v>13.98</v>
      </c>
      <c r="H13" s="3">
        <v>1278.9000000000001</v>
      </c>
      <c r="I13" s="73"/>
    </row>
    <row r="14" spans="1:9">
      <c r="A14" s="4"/>
      <c r="B14" s="7" t="s">
        <v>12</v>
      </c>
      <c r="C14" s="12" t="s">
        <v>19</v>
      </c>
      <c r="D14" s="28" t="s">
        <v>33</v>
      </c>
      <c r="E14" s="19">
        <f>2.26*12*H14</f>
        <v>34683.767999999996</v>
      </c>
      <c r="G14" s="17">
        <v>8.1199999999999992</v>
      </c>
      <c r="H14" s="3">
        <v>1278.9000000000001</v>
      </c>
      <c r="I14" s="73"/>
    </row>
    <row r="15" spans="1:9" ht="48">
      <c r="A15" s="4"/>
      <c r="B15" s="30" t="s">
        <v>34</v>
      </c>
      <c r="C15" s="31" t="s">
        <v>19</v>
      </c>
      <c r="D15" s="31" t="s">
        <v>32</v>
      </c>
      <c r="E15" s="31">
        <f>9.47*12*H15</f>
        <v>145334.19600000003</v>
      </c>
      <c r="G15" s="17">
        <v>18.14</v>
      </c>
      <c r="H15" s="3">
        <v>1278.9000000000001</v>
      </c>
      <c r="I15" s="73"/>
    </row>
    <row r="16" spans="1:9">
      <c r="A16" s="4"/>
      <c r="B16" s="7" t="s">
        <v>17</v>
      </c>
      <c r="C16" s="12" t="s">
        <v>19</v>
      </c>
      <c r="D16" s="12" t="s">
        <v>33</v>
      </c>
      <c r="E16" s="19">
        <f>0.19*12*H16</f>
        <v>2915.8920000000007</v>
      </c>
      <c r="F16" s="15"/>
      <c r="G16" s="17">
        <v>0.41</v>
      </c>
      <c r="H16" s="3">
        <v>1278.9000000000001</v>
      </c>
      <c r="I16" s="73"/>
    </row>
    <row r="17" spans="1:9">
      <c r="A17" s="4"/>
      <c r="B17" s="7" t="s">
        <v>18</v>
      </c>
      <c r="C17" s="12" t="s">
        <v>19</v>
      </c>
      <c r="D17" s="12" t="s">
        <v>30</v>
      </c>
      <c r="E17" s="19">
        <f>0.37*12*H17</f>
        <v>5678.3159999999998</v>
      </c>
      <c r="G17" s="17">
        <v>2.52</v>
      </c>
      <c r="H17" s="3">
        <v>1278.9000000000001</v>
      </c>
      <c r="I17" s="73"/>
    </row>
    <row r="18" spans="1:9">
      <c r="A18" s="4"/>
      <c r="B18" s="8" t="s">
        <v>13</v>
      </c>
      <c r="C18" s="12" t="s">
        <v>19</v>
      </c>
      <c r="D18" s="12"/>
      <c r="E18" s="10">
        <f>E17+E16+E15+E14+E13+E12+E11+E10+E9</f>
        <v>406383.26400000008</v>
      </c>
      <c r="F18" s="15"/>
      <c r="G18" s="17" t="e">
        <f>G17+G16+G15+G14+G13+G12+G11+G10+G9+#REF!+#REF!</f>
        <v>#REF!</v>
      </c>
    </row>
    <row r="19" spans="1:9">
      <c r="A19" s="4"/>
      <c r="B19" s="5" t="s">
        <v>14</v>
      </c>
      <c r="C19" s="12" t="s">
        <v>19</v>
      </c>
      <c r="D19" s="12"/>
      <c r="E19" s="10">
        <f>E6-E18</f>
        <v>0</v>
      </c>
    </row>
    <row r="20" spans="1:9">
      <c r="A20" s="4"/>
      <c r="B20" s="91" t="s">
        <v>15</v>
      </c>
      <c r="C20" s="92"/>
      <c r="D20" s="92"/>
      <c r="E20" s="93"/>
    </row>
    <row r="21" spans="1:9">
      <c r="A21" s="4"/>
      <c r="B21" s="5" t="s">
        <v>16</v>
      </c>
      <c r="C21" s="12" t="s">
        <v>19</v>
      </c>
      <c r="D21" s="12"/>
      <c r="E21" s="10"/>
    </row>
    <row r="22" spans="1:9">
      <c r="A22" s="68"/>
      <c r="B22" s="22" t="s">
        <v>77</v>
      </c>
      <c r="C22" s="12" t="s">
        <v>19</v>
      </c>
      <c r="D22" s="12"/>
      <c r="E22" s="21">
        <v>13000</v>
      </c>
    </row>
    <row r="23" spans="1:9">
      <c r="B23" s="12" t="s">
        <v>25</v>
      </c>
      <c r="C23" s="12" t="s">
        <v>19</v>
      </c>
      <c r="D23" s="12"/>
      <c r="E23" s="11">
        <f>E22</f>
        <v>13000</v>
      </c>
    </row>
    <row r="24" spans="1:9">
      <c r="B24" s="5" t="s">
        <v>14</v>
      </c>
      <c r="C24" s="12" t="s">
        <v>19</v>
      </c>
      <c r="D24" s="12"/>
      <c r="E24" s="20">
        <f>E5-E18-E23</f>
        <v>-13000.000000000058</v>
      </c>
    </row>
  </sheetData>
  <mergeCells count="3">
    <mergeCell ref="A2:E2"/>
    <mergeCell ref="B8:E8"/>
    <mergeCell ref="B20:E20"/>
  </mergeCells>
  <phoneticPr fontId="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26" sqref="E2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855468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209709.88800000004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830.6*12*16.39</f>
        <v>163362.40800000002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830.6*4.65*12</f>
        <v>46347.48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830.6*12*0.003</f>
        <v>29.901600000000002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830.6*12*2.54</f>
        <v>25316.688000000002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830.6*12*2.11</f>
        <v>21030.792000000001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830.6*12*2.6</f>
        <v>25914.720000000001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830.6*12*1.92</f>
        <v>19137.024000000001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830.6*12*2.34</f>
        <v>23323.248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830.6*12*1.36</f>
        <v>13555.392000000002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830.6*12*3.03</f>
        <v>30200.616000000002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830.6*12*0.07</f>
        <v>697.70400000000006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830.6*12*0.42</f>
        <v>4186.2240000000002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163392.30960000004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-29.901600000011967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/>
      <c r="D24" s="12"/>
      <c r="E24" s="10"/>
    </row>
    <row r="25" spans="1:7"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46347.48</v>
      </c>
    </row>
  </sheetData>
  <mergeCells count="3">
    <mergeCell ref="B23:E23"/>
    <mergeCell ref="A2:E2"/>
    <mergeCell ref="B9:E9"/>
  </mergeCells>
  <phoneticPr fontId="6" type="noConversion"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24"/>
  <sheetViews>
    <sheetView workbookViewId="0">
      <selection activeCell="L15" sqref="L15"/>
    </sheetView>
  </sheetViews>
  <sheetFormatPr defaultColWidth="8.85546875" defaultRowHeight="12"/>
  <cols>
    <col min="1" max="1" width="2.85546875" style="3" customWidth="1"/>
    <col min="2" max="2" width="44.5703125" style="3" customWidth="1"/>
    <col min="3" max="3" width="10" style="13" customWidth="1"/>
    <col min="4" max="4" width="15.5703125" style="13" customWidth="1"/>
    <col min="5" max="5" width="14.7109375" style="13" customWidth="1"/>
    <col min="6" max="6" width="8.85546875" style="3"/>
    <col min="7" max="7" width="8.7109375" style="3" hidden="1" customWidth="1"/>
    <col min="8" max="8" width="7.140625" style="3" hidden="1" customWidth="1"/>
    <col min="9" max="16384" width="8.85546875" style="3"/>
  </cols>
  <sheetData>
    <row r="1" spans="1:9">
      <c r="A1" s="1"/>
      <c r="B1" s="1"/>
      <c r="C1" s="9"/>
      <c r="D1" s="9"/>
      <c r="E1" s="2"/>
    </row>
    <row r="2" spans="1:9" ht="17.25" customHeight="1">
      <c r="A2" s="90" t="s">
        <v>26</v>
      </c>
      <c r="B2" s="90"/>
      <c r="C2" s="90"/>
      <c r="D2" s="90"/>
      <c r="E2" s="90"/>
    </row>
    <row r="3" spans="1:9">
      <c r="A3" s="1"/>
      <c r="B3" s="1"/>
      <c r="C3" s="9"/>
      <c r="D3" s="9"/>
      <c r="E3" s="9"/>
    </row>
    <row r="4" spans="1:9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9">
      <c r="A5" s="4"/>
      <c r="B5" s="5" t="s">
        <v>27</v>
      </c>
      <c r="C5" s="12" t="s">
        <v>19</v>
      </c>
      <c r="D5" s="12"/>
      <c r="E5" s="10">
        <f>E6</f>
        <v>403396.32</v>
      </c>
    </row>
    <row r="6" spans="1:9">
      <c r="A6" s="4"/>
      <c r="B6" s="6" t="s">
        <v>4</v>
      </c>
      <c r="C6" s="12" t="s">
        <v>19</v>
      </c>
      <c r="D6" s="12" t="s">
        <v>78</v>
      </c>
      <c r="E6" s="11">
        <f>26.48*12*H6</f>
        <v>403396.32</v>
      </c>
      <c r="G6" s="17">
        <v>78.349999999999994</v>
      </c>
      <c r="H6" s="3">
        <v>1269.5</v>
      </c>
    </row>
    <row r="7" spans="1:9">
      <c r="A7" s="4"/>
      <c r="B7" s="4"/>
      <c r="C7" s="12"/>
      <c r="D7" s="12"/>
      <c r="E7" s="12"/>
      <c r="H7" s="3">
        <v>1269.5</v>
      </c>
    </row>
    <row r="8" spans="1:9">
      <c r="A8" s="4"/>
      <c r="B8" s="91" t="s">
        <v>6</v>
      </c>
      <c r="C8" s="92"/>
      <c r="D8" s="92"/>
      <c r="E8" s="93"/>
      <c r="H8" s="3">
        <v>1269.5</v>
      </c>
    </row>
    <row r="9" spans="1:9">
      <c r="A9" s="4"/>
      <c r="B9" s="7" t="s">
        <v>8</v>
      </c>
      <c r="C9" s="12" t="s">
        <v>19</v>
      </c>
      <c r="D9" s="12" t="s">
        <v>30</v>
      </c>
      <c r="E9" s="19">
        <f>2.31*12*H9</f>
        <v>35190.54</v>
      </c>
      <c r="G9" s="17">
        <v>12.62</v>
      </c>
      <c r="H9" s="3">
        <v>1269.5</v>
      </c>
      <c r="I9" s="73"/>
    </row>
    <row r="10" spans="1:9">
      <c r="A10" s="4"/>
      <c r="B10" s="7" t="s">
        <v>7</v>
      </c>
      <c r="C10" s="12" t="s">
        <v>19</v>
      </c>
      <c r="D10" s="28"/>
      <c r="E10" s="19">
        <f>2.84*12*H10</f>
        <v>43264.56</v>
      </c>
      <c r="G10" s="17"/>
      <c r="H10" s="3">
        <v>1269.5</v>
      </c>
      <c r="I10" s="73"/>
    </row>
    <row r="11" spans="1:9">
      <c r="A11" s="4"/>
      <c r="B11" s="7" t="s">
        <v>9</v>
      </c>
      <c r="C11" s="12" t="s">
        <v>19</v>
      </c>
      <c r="D11" s="12" t="s">
        <v>31</v>
      </c>
      <c r="E11" s="19">
        <f>4.15*12*H11</f>
        <v>63221.100000000006</v>
      </c>
      <c r="G11" s="17">
        <v>15.55</v>
      </c>
      <c r="H11" s="3">
        <v>1269.5</v>
      </c>
      <c r="I11" s="73"/>
    </row>
    <row r="12" spans="1:9">
      <c r="A12" s="4"/>
      <c r="B12" s="7" t="s">
        <v>10</v>
      </c>
      <c r="C12" s="12" t="s">
        <v>19</v>
      </c>
      <c r="D12" s="29" t="s">
        <v>32</v>
      </c>
      <c r="E12" s="19">
        <f>1.96*12*H12</f>
        <v>29858.639999999999</v>
      </c>
      <c r="G12" s="17">
        <v>11.46</v>
      </c>
      <c r="H12" s="3">
        <v>1269.5</v>
      </c>
      <c r="I12" s="73"/>
    </row>
    <row r="13" spans="1:9">
      <c r="A13" s="4"/>
      <c r="B13" s="7" t="s">
        <v>11</v>
      </c>
      <c r="C13" s="12" t="s">
        <v>19</v>
      </c>
      <c r="D13" s="28" t="s">
        <v>33</v>
      </c>
      <c r="E13" s="19">
        <f>2.93*12*H13</f>
        <v>44635.62</v>
      </c>
      <c r="G13" s="17">
        <v>13.98</v>
      </c>
      <c r="H13" s="3">
        <v>1269.5</v>
      </c>
      <c r="I13" s="73"/>
    </row>
    <row r="14" spans="1:9">
      <c r="A14" s="4"/>
      <c r="B14" s="7" t="s">
        <v>12</v>
      </c>
      <c r="C14" s="12" t="s">
        <v>19</v>
      </c>
      <c r="D14" s="28" t="s">
        <v>33</v>
      </c>
      <c r="E14" s="19">
        <f>2.26*12*H14</f>
        <v>34428.839999999997</v>
      </c>
      <c r="G14" s="17">
        <v>8.1199999999999992</v>
      </c>
      <c r="H14" s="3">
        <v>1269.5</v>
      </c>
      <c r="I14" s="73"/>
    </row>
    <row r="15" spans="1:9" ht="48">
      <c r="A15" s="4"/>
      <c r="B15" s="30" t="s">
        <v>34</v>
      </c>
      <c r="C15" s="31" t="s">
        <v>19</v>
      </c>
      <c r="D15" s="31" t="s">
        <v>32</v>
      </c>
      <c r="E15" s="31">
        <f>9.47*12*H15</f>
        <v>144265.98000000001</v>
      </c>
      <c r="G15" s="17">
        <v>18.14</v>
      </c>
      <c r="H15" s="3">
        <v>1269.5</v>
      </c>
      <c r="I15" s="73"/>
    </row>
    <row r="16" spans="1:9">
      <c r="A16" s="4"/>
      <c r="B16" s="7" t="s">
        <v>17</v>
      </c>
      <c r="C16" s="12" t="s">
        <v>19</v>
      </c>
      <c r="D16" s="12" t="s">
        <v>33</v>
      </c>
      <c r="E16" s="19">
        <f>0.19*12*H16</f>
        <v>2894.4600000000005</v>
      </c>
      <c r="F16" s="15"/>
      <c r="G16" s="17">
        <v>0.41</v>
      </c>
      <c r="H16" s="3">
        <v>1269.5</v>
      </c>
      <c r="I16" s="73"/>
    </row>
    <row r="17" spans="1:9">
      <c r="A17" s="4"/>
      <c r="B17" s="7" t="s">
        <v>18</v>
      </c>
      <c r="C17" s="12" t="s">
        <v>19</v>
      </c>
      <c r="D17" s="12" t="s">
        <v>30</v>
      </c>
      <c r="E17" s="19">
        <f>0.37*12*H17</f>
        <v>5636.579999999999</v>
      </c>
      <c r="G17" s="17">
        <v>2.52</v>
      </c>
      <c r="H17" s="3">
        <v>1269.5</v>
      </c>
      <c r="I17" s="73"/>
    </row>
    <row r="18" spans="1:9">
      <c r="A18" s="4"/>
      <c r="B18" s="8" t="s">
        <v>13</v>
      </c>
      <c r="C18" s="12" t="s">
        <v>19</v>
      </c>
      <c r="D18" s="12"/>
      <c r="E18" s="10">
        <f>E17+E16+E15+E14+E13+E12+E11+E10+E9</f>
        <v>403396.31999999995</v>
      </c>
      <c r="F18" s="15"/>
      <c r="G18" s="17" t="e">
        <f>G17+G16+G15+G14+G13+G12+G11+G10+G9+#REF!+#REF!</f>
        <v>#REF!</v>
      </c>
    </row>
    <row r="19" spans="1:9">
      <c r="A19" s="4"/>
      <c r="B19" s="5" t="s">
        <v>14</v>
      </c>
      <c r="C19" s="12" t="s">
        <v>19</v>
      </c>
      <c r="D19" s="12"/>
      <c r="E19" s="10">
        <f>E6-E18</f>
        <v>0</v>
      </c>
    </row>
    <row r="20" spans="1:9">
      <c r="A20" s="4"/>
      <c r="B20" s="91" t="s">
        <v>15</v>
      </c>
      <c r="C20" s="92"/>
      <c r="D20" s="92"/>
      <c r="E20" s="93"/>
    </row>
    <row r="21" spans="1:9">
      <c r="A21" s="4"/>
      <c r="B21" s="5" t="s">
        <v>16</v>
      </c>
      <c r="C21" s="12" t="s">
        <v>19</v>
      </c>
      <c r="D21" s="12"/>
      <c r="E21" s="10"/>
    </row>
    <row r="22" spans="1:9">
      <c r="A22" s="68"/>
      <c r="B22" s="22" t="s">
        <v>77</v>
      </c>
      <c r="C22" s="12" t="s">
        <v>19</v>
      </c>
      <c r="D22" s="12"/>
      <c r="E22" s="21">
        <v>13000</v>
      </c>
    </row>
    <row r="23" spans="1:9">
      <c r="B23" s="12" t="s">
        <v>25</v>
      </c>
      <c r="C23" s="12" t="s">
        <v>19</v>
      </c>
      <c r="D23" s="12"/>
      <c r="E23" s="11">
        <f>E22</f>
        <v>13000</v>
      </c>
    </row>
    <row r="24" spans="1:9">
      <c r="B24" s="5" t="s">
        <v>14</v>
      </c>
      <c r="C24" s="12" t="s">
        <v>19</v>
      </c>
      <c r="D24" s="12"/>
      <c r="E24" s="20">
        <f>E5-E18-E23</f>
        <v>-12999.999999999942</v>
      </c>
    </row>
  </sheetData>
  <mergeCells count="3">
    <mergeCell ref="A2:E2"/>
    <mergeCell ref="B8:E8"/>
    <mergeCell ref="B20:E20"/>
  </mergeCells>
  <phoneticPr fontId="6" type="noConversion"/>
  <pageMargins left="0.75" right="0.75" top="1" bottom="1" header="0.5" footer="0.5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24"/>
  <sheetViews>
    <sheetView workbookViewId="0">
      <selection activeCell="H1" sqref="H1:H65536"/>
    </sheetView>
  </sheetViews>
  <sheetFormatPr defaultColWidth="8.85546875" defaultRowHeight="12"/>
  <cols>
    <col min="1" max="1" width="2.85546875" style="3" customWidth="1"/>
    <col min="2" max="2" width="44.5703125" style="3" customWidth="1"/>
    <col min="3" max="3" width="10" style="13" customWidth="1"/>
    <col min="4" max="4" width="15.5703125" style="13" customWidth="1"/>
    <col min="5" max="5" width="14.7109375" style="13" customWidth="1"/>
    <col min="6" max="6" width="8.85546875" style="3"/>
    <col min="7" max="7" width="8.7109375" style="3" hidden="1" customWidth="1"/>
    <col min="8" max="8" width="23" style="3" hidden="1" customWidth="1"/>
    <col min="9" max="16384" width="8.85546875" style="3"/>
  </cols>
  <sheetData>
    <row r="1" spans="1:9">
      <c r="A1" s="1"/>
      <c r="B1" s="1"/>
      <c r="C1" s="9"/>
      <c r="D1" s="9"/>
      <c r="E1" s="2"/>
    </row>
    <row r="2" spans="1:9" ht="17.25" customHeight="1">
      <c r="A2" s="90" t="s">
        <v>26</v>
      </c>
      <c r="B2" s="90"/>
      <c r="C2" s="90"/>
      <c r="D2" s="90"/>
      <c r="E2" s="90"/>
    </row>
    <row r="3" spans="1:9">
      <c r="A3" s="1"/>
      <c r="B3" s="1"/>
      <c r="C3" s="9"/>
      <c r="D3" s="9"/>
      <c r="E3" s="9"/>
    </row>
    <row r="4" spans="1:9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9">
      <c r="A5" s="4"/>
      <c r="B5" s="5" t="s">
        <v>27</v>
      </c>
      <c r="C5" s="12" t="s">
        <v>19</v>
      </c>
      <c r="D5" s="12"/>
      <c r="E5" s="10">
        <f>E6</f>
        <v>406383.26400000002</v>
      </c>
    </row>
    <row r="6" spans="1:9">
      <c r="A6" s="4"/>
      <c r="B6" s="6" t="s">
        <v>4</v>
      </c>
      <c r="C6" s="12" t="s">
        <v>19</v>
      </c>
      <c r="D6" s="12" t="s">
        <v>78</v>
      </c>
      <c r="E6" s="11">
        <f>26.48*12*H6</f>
        <v>406383.26400000002</v>
      </c>
      <c r="G6" s="17">
        <v>78.349999999999994</v>
      </c>
      <c r="H6" s="3">
        <v>1278.9000000000001</v>
      </c>
    </row>
    <row r="7" spans="1:9">
      <c r="A7" s="4"/>
      <c r="B7" s="4"/>
      <c r="C7" s="12"/>
      <c r="D7" s="12"/>
      <c r="E7" s="12"/>
      <c r="H7" s="3">
        <v>1278.9000000000001</v>
      </c>
    </row>
    <row r="8" spans="1:9">
      <c r="A8" s="4"/>
      <c r="B8" s="91" t="s">
        <v>6</v>
      </c>
      <c r="C8" s="92"/>
      <c r="D8" s="92"/>
      <c r="E8" s="93"/>
      <c r="H8" s="3">
        <v>1278.9000000000001</v>
      </c>
    </row>
    <row r="9" spans="1:9">
      <c r="A9" s="4"/>
      <c r="B9" s="7" t="s">
        <v>8</v>
      </c>
      <c r="C9" s="12" t="s">
        <v>19</v>
      </c>
      <c r="D9" s="12" t="s">
        <v>30</v>
      </c>
      <c r="E9" s="19">
        <f>2.31*12*H9</f>
        <v>35451.108</v>
      </c>
      <c r="G9" s="17">
        <v>12.62</v>
      </c>
      <c r="H9" s="3">
        <v>1278.9000000000001</v>
      </c>
      <c r="I9" s="73"/>
    </row>
    <row r="10" spans="1:9">
      <c r="A10" s="4"/>
      <c r="B10" s="7" t="s">
        <v>7</v>
      </c>
      <c r="C10" s="12" t="s">
        <v>19</v>
      </c>
      <c r="D10" s="28"/>
      <c r="E10" s="19">
        <f>2.84*12*H10</f>
        <v>43584.912000000004</v>
      </c>
      <c r="G10" s="17"/>
      <c r="H10" s="3">
        <v>1278.9000000000001</v>
      </c>
      <c r="I10" s="73"/>
    </row>
    <row r="11" spans="1:9">
      <c r="A11" s="4"/>
      <c r="B11" s="7" t="s">
        <v>9</v>
      </c>
      <c r="C11" s="12" t="s">
        <v>19</v>
      </c>
      <c r="D11" s="12" t="s">
        <v>31</v>
      </c>
      <c r="E11" s="19">
        <f>4.15*12*H11</f>
        <v>63689.220000000008</v>
      </c>
      <c r="G11" s="17">
        <v>15.55</v>
      </c>
      <c r="H11" s="3">
        <v>1278.9000000000001</v>
      </c>
      <c r="I11" s="73"/>
    </row>
    <row r="12" spans="1:9">
      <c r="A12" s="4"/>
      <c r="B12" s="7" t="s">
        <v>10</v>
      </c>
      <c r="C12" s="12" t="s">
        <v>19</v>
      </c>
      <c r="D12" s="29" t="s">
        <v>32</v>
      </c>
      <c r="E12" s="19">
        <f>1.96*12*H12</f>
        <v>30079.728000000003</v>
      </c>
      <c r="G12" s="17">
        <v>11.46</v>
      </c>
      <c r="H12" s="3">
        <v>1278.9000000000001</v>
      </c>
      <c r="I12" s="73"/>
    </row>
    <row r="13" spans="1:9">
      <c r="A13" s="4"/>
      <c r="B13" s="7" t="s">
        <v>11</v>
      </c>
      <c r="C13" s="12" t="s">
        <v>19</v>
      </c>
      <c r="D13" s="28" t="s">
        <v>33</v>
      </c>
      <c r="E13" s="19">
        <f>2.93*12*H13</f>
        <v>44966.124000000011</v>
      </c>
      <c r="G13" s="17">
        <v>13.98</v>
      </c>
      <c r="H13" s="3">
        <v>1278.9000000000001</v>
      </c>
      <c r="I13" s="73"/>
    </row>
    <row r="14" spans="1:9">
      <c r="A14" s="4"/>
      <c r="B14" s="7" t="s">
        <v>12</v>
      </c>
      <c r="C14" s="12" t="s">
        <v>19</v>
      </c>
      <c r="D14" s="28" t="s">
        <v>33</v>
      </c>
      <c r="E14" s="19">
        <f>2.26*12*H14</f>
        <v>34683.767999999996</v>
      </c>
      <c r="G14" s="17">
        <v>8.1199999999999992</v>
      </c>
      <c r="H14" s="3">
        <v>1278.9000000000001</v>
      </c>
      <c r="I14" s="73"/>
    </row>
    <row r="15" spans="1:9" ht="48">
      <c r="A15" s="4"/>
      <c r="B15" s="30" t="s">
        <v>34</v>
      </c>
      <c r="C15" s="31" t="s">
        <v>19</v>
      </c>
      <c r="D15" s="31" t="s">
        <v>32</v>
      </c>
      <c r="E15" s="31">
        <f>9.47*12*H15</f>
        <v>145334.19600000003</v>
      </c>
      <c r="G15" s="17">
        <v>18.14</v>
      </c>
      <c r="H15" s="3">
        <v>1278.9000000000001</v>
      </c>
      <c r="I15" s="73"/>
    </row>
    <row r="16" spans="1:9">
      <c r="A16" s="4"/>
      <c r="B16" s="7" t="s">
        <v>17</v>
      </c>
      <c r="C16" s="12" t="s">
        <v>19</v>
      </c>
      <c r="D16" s="12" t="s">
        <v>33</v>
      </c>
      <c r="E16" s="19">
        <f>0.19*12*H16</f>
        <v>2915.8920000000007</v>
      </c>
      <c r="F16" s="15"/>
      <c r="G16" s="17">
        <v>0.41</v>
      </c>
      <c r="H16" s="3">
        <v>1278.9000000000001</v>
      </c>
      <c r="I16" s="73"/>
    </row>
    <row r="17" spans="1:9">
      <c r="A17" s="4"/>
      <c r="B17" s="7" t="s">
        <v>18</v>
      </c>
      <c r="C17" s="12" t="s">
        <v>19</v>
      </c>
      <c r="D17" s="12" t="s">
        <v>30</v>
      </c>
      <c r="E17" s="19">
        <f>0.37*12*H17</f>
        <v>5678.3159999999998</v>
      </c>
      <c r="G17" s="17">
        <v>2.52</v>
      </c>
      <c r="H17" s="3">
        <v>1278.9000000000001</v>
      </c>
      <c r="I17" s="73"/>
    </row>
    <row r="18" spans="1:9">
      <c r="A18" s="4"/>
      <c r="B18" s="8" t="s">
        <v>13</v>
      </c>
      <c r="C18" s="12" t="s">
        <v>19</v>
      </c>
      <c r="D18" s="12"/>
      <c r="E18" s="10">
        <f>E17+E16+E15+E14+E13+E12+E11+E10+E9</f>
        <v>406383.26400000008</v>
      </c>
      <c r="F18" s="15"/>
      <c r="G18" s="17" t="e">
        <f>G17+G16+G15+G14+G13+G12+G11+G10+G9+#REF!+#REF!</f>
        <v>#REF!</v>
      </c>
    </row>
    <row r="19" spans="1:9">
      <c r="A19" s="4"/>
      <c r="B19" s="5" t="s">
        <v>14</v>
      </c>
      <c r="C19" s="12" t="s">
        <v>19</v>
      </c>
      <c r="D19" s="12"/>
      <c r="E19" s="10">
        <f>E6-E18</f>
        <v>0</v>
      </c>
    </row>
    <row r="20" spans="1:9">
      <c r="A20" s="4"/>
      <c r="B20" s="91" t="s">
        <v>15</v>
      </c>
      <c r="C20" s="92"/>
      <c r="D20" s="92"/>
      <c r="E20" s="93"/>
    </row>
    <row r="21" spans="1:9">
      <c r="A21" s="4"/>
      <c r="B21" s="5" t="s">
        <v>16</v>
      </c>
      <c r="C21" s="12" t="s">
        <v>19</v>
      </c>
      <c r="D21" s="12"/>
      <c r="E21" s="10"/>
    </row>
    <row r="22" spans="1:9">
      <c r="A22" s="68"/>
      <c r="B22" s="22" t="s">
        <v>77</v>
      </c>
      <c r="C22" s="12" t="s">
        <v>19</v>
      </c>
      <c r="D22" s="12"/>
      <c r="E22" s="21">
        <v>13000</v>
      </c>
    </row>
    <row r="23" spans="1:9">
      <c r="B23" s="12" t="s">
        <v>25</v>
      </c>
      <c r="C23" s="12" t="s">
        <v>19</v>
      </c>
      <c r="D23" s="12"/>
      <c r="E23" s="11">
        <f>E22</f>
        <v>13000</v>
      </c>
    </row>
    <row r="24" spans="1:9">
      <c r="B24" s="5" t="s">
        <v>14</v>
      </c>
      <c r="C24" s="12" t="s">
        <v>19</v>
      </c>
      <c r="D24" s="12"/>
      <c r="E24" s="20">
        <f>E5-E18-E23</f>
        <v>-13000.000000000058</v>
      </c>
    </row>
  </sheetData>
  <mergeCells count="3">
    <mergeCell ref="A2:E2"/>
    <mergeCell ref="B8:E8"/>
    <mergeCell ref="B20:E20"/>
  </mergeCells>
  <phoneticPr fontId="6" type="noConversion"/>
  <pageMargins left="0.75" right="0.75" top="1" bottom="1" header="0.5" footer="0.5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24"/>
  <sheetViews>
    <sheetView workbookViewId="0">
      <selection activeCell="L15" sqref="L15"/>
    </sheetView>
  </sheetViews>
  <sheetFormatPr defaultColWidth="8.85546875" defaultRowHeight="12"/>
  <cols>
    <col min="1" max="1" width="2.85546875" style="3" customWidth="1"/>
    <col min="2" max="2" width="44.5703125" style="3" customWidth="1"/>
    <col min="3" max="3" width="10" style="13" customWidth="1"/>
    <col min="4" max="4" width="15.5703125" style="13" customWidth="1"/>
    <col min="5" max="5" width="14.7109375" style="13" customWidth="1"/>
    <col min="6" max="6" width="8.85546875" style="3"/>
    <col min="7" max="7" width="8.7109375" style="3" hidden="1" customWidth="1"/>
    <col min="8" max="8" width="10.28515625" style="3" hidden="1" customWidth="1"/>
    <col min="9" max="16384" width="8.85546875" style="3"/>
  </cols>
  <sheetData>
    <row r="1" spans="1:9">
      <c r="A1" s="1"/>
      <c r="B1" s="1"/>
      <c r="C1" s="9"/>
      <c r="D1" s="9"/>
      <c r="E1" s="2"/>
    </row>
    <row r="2" spans="1:9" ht="17.25" customHeight="1">
      <c r="A2" s="90" t="s">
        <v>26</v>
      </c>
      <c r="B2" s="90"/>
      <c r="C2" s="90"/>
      <c r="D2" s="90"/>
      <c r="E2" s="90"/>
    </row>
    <row r="3" spans="1:9">
      <c r="A3" s="1"/>
      <c r="B3" s="1"/>
      <c r="C3" s="9"/>
      <c r="D3" s="9"/>
      <c r="E3" s="9"/>
    </row>
    <row r="4" spans="1:9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9">
      <c r="A5" s="4"/>
      <c r="B5" s="5" t="s">
        <v>27</v>
      </c>
      <c r="C5" s="12" t="s">
        <v>19</v>
      </c>
      <c r="D5" s="12"/>
      <c r="E5" s="10">
        <f>E6</f>
        <v>203207.52</v>
      </c>
    </row>
    <row r="6" spans="1:9">
      <c r="A6" s="4"/>
      <c r="B6" s="6" t="s">
        <v>4</v>
      </c>
      <c r="C6" s="12" t="s">
        <v>19</v>
      </c>
      <c r="D6" s="12" t="s">
        <v>78</v>
      </c>
      <c r="E6" s="11">
        <f>26.48*12*H6</f>
        <v>203207.52</v>
      </c>
      <c r="G6" s="17">
        <v>78.349999999999994</v>
      </c>
      <c r="H6" s="3">
        <v>639.5</v>
      </c>
    </row>
    <row r="7" spans="1:9">
      <c r="A7" s="4"/>
      <c r="B7" s="4"/>
      <c r="C7" s="12"/>
      <c r="D7" s="12"/>
      <c r="E7" s="12"/>
      <c r="H7" s="3">
        <v>639.5</v>
      </c>
    </row>
    <row r="8" spans="1:9">
      <c r="A8" s="4"/>
      <c r="B8" s="91" t="s">
        <v>6</v>
      </c>
      <c r="C8" s="92"/>
      <c r="D8" s="92"/>
      <c r="E8" s="93"/>
      <c r="H8" s="3">
        <v>639.5</v>
      </c>
    </row>
    <row r="9" spans="1:9">
      <c r="A9" s="4"/>
      <c r="B9" s="7" t="s">
        <v>8</v>
      </c>
      <c r="C9" s="12" t="s">
        <v>19</v>
      </c>
      <c r="D9" s="12" t="s">
        <v>30</v>
      </c>
      <c r="E9" s="19">
        <f>2.31*12*H9</f>
        <v>17726.939999999999</v>
      </c>
      <c r="G9" s="17">
        <v>12.62</v>
      </c>
      <c r="H9" s="3">
        <v>639.5</v>
      </c>
      <c r="I9" s="73"/>
    </row>
    <row r="10" spans="1:9">
      <c r="A10" s="4"/>
      <c r="B10" s="7" t="s">
        <v>7</v>
      </c>
      <c r="C10" s="12" t="s">
        <v>19</v>
      </c>
      <c r="D10" s="28"/>
      <c r="E10" s="19">
        <f>2.84*12*H10</f>
        <v>21794.16</v>
      </c>
      <c r="G10" s="17"/>
      <c r="H10" s="3">
        <v>639.5</v>
      </c>
      <c r="I10" s="73"/>
    </row>
    <row r="11" spans="1:9">
      <c r="A11" s="4"/>
      <c r="B11" s="7" t="s">
        <v>9</v>
      </c>
      <c r="C11" s="12" t="s">
        <v>19</v>
      </c>
      <c r="D11" s="12" t="s">
        <v>31</v>
      </c>
      <c r="E11" s="19">
        <f>4.15*12*H11</f>
        <v>31847.100000000002</v>
      </c>
      <c r="G11" s="17">
        <v>15.55</v>
      </c>
      <c r="H11" s="3">
        <v>639.5</v>
      </c>
      <c r="I11" s="73"/>
    </row>
    <row r="12" spans="1:9">
      <c r="A12" s="4"/>
      <c r="B12" s="7" t="s">
        <v>10</v>
      </c>
      <c r="C12" s="12" t="s">
        <v>19</v>
      </c>
      <c r="D12" s="29" t="s">
        <v>32</v>
      </c>
      <c r="E12" s="19">
        <f>1.96*12*H12</f>
        <v>15041.039999999999</v>
      </c>
      <c r="G12" s="17">
        <v>11.46</v>
      </c>
      <c r="H12" s="3">
        <v>639.5</v>
      </c>
      <c r="I12" s="73"/>
    </row>
    <row r="13" spans="1:9">
      <c r="A13" s="4"/>
      <c r="B13" s="7" t="s">
        <v>11</v>
      </c>
      <c r="C13" s="12" t="s">
        <v>19</v>
      </c>
      <c r="D13" s="28" t="s">
        <v>33</v>
      </c>
      <c r="E13" s="19">
        <f>2.93*12*H13</f>
        <v>22484.820000000003</v>
      </c>
      <c r="G13" s="17">
        <v>13.98</v>
      </c>
      <c r="H13" s="3">
        <v>639.5</v>
      </c>
      <c r="I13" s="73"/>
    </row>
    <row r="14" spans="1:9">
      <c r="A14" s="4"/>
      <c r="B14" s="7" t="s">
        <v>12</v>
      </c>
      <c r="C14" s="12" t="s">
        <v>19</v>
      </c>
      <c r="D14" s="28" t="s">
        <v>33</v>
      </c>
      <c r="E14" s="19">
        <f>2.26*12*H14</f>
        <v>17343.239999999998</v>
      </c>
      <c r="G14" s="17">
        <v>8.1199999999999992</v>
      </c>
      <c r="H14" s="3">
        <v>639.5</v>
      </c>
      <c r="I14" s="73"/>
    </row>
    <row r="15" spans="1:9" ht="48">
      <c r="A15" s="4"/>
      <c r="B15" s="30" t="s">
        <v>34</v>
      </c>
      <c r="C15" s="31" t="s">
        <v>19</v>
      </c>
      <c r="D15" s="31" t="s">
        <v>32</v>
      </c>
      <c r="E15" s="31">
        <f>9.47*12*H15</f>
        <v>72672.780000000013</v>
      </c>
      <c r="G15" s="17">
        <v>18.14</v>
      </c>
      <c r="H15" s="3">
        <v>639.5</v>
      </c>
      <c r="I15" s="73"/>
    </row>
    <row r="16" spans="1:9">
      <c r="A16" s="4"/>
      <c r="B16" s="7" t="s">
        <v>17</v>
      </c>
      <c r="C16" s="12" t="s">
        <v>19</v>
      </c>
      <c r="D16" s="12" t="s">
        <v>33</v>
      </c>
      <c r="E16" s="19">
        <f>0.19*12*H16</f>
        <v>1458.0600000000002</v>
      </c>
      <c r="F16" s="15"/>
      <c r="G16" s="17">
        <v>0.41</v>
      </c>
      <c r="H16" s="3">
        <v>639.5</v>
      </c>
      <c r="I16" s="73"/>
    </row>
    <row r="17" spans="1:9">
      <c r="A17" s="4"/>
      <c r="B17" s="7" t="s">
        <v>18</v>
      </c>
      <c r="C17" s="12" t="s">
        <v>19</v>
      </c>
      <c r="D17" s="12" t="s">
        <v>30</v>
      </c>
      <c r="E17" s="19">
        <f>0.37*12*H17</f>
        <v>2839.3799999999997</v>
      </c>
      <c r="G17" s="17">
        <v>2.52</v>
      </c>
      <c r="H17" s="3">
        <v>639.5</v>
      </c>
      <c r="I17" s="73"/>
    </row>
    <row r="18" spans="1:9">
      <c r="A18" s="4"/>
      <c r="B18" s="8" t="s">
        <v>13</v>
      </c>
      <c r="C18" s="12" t="s">
        <v>19</v>
      </c>
      <c r="D18" s="12"/>
      <c r="E18" s="10">
        <f>E17+E16+E15+E14+E13+E12+E11+E10+E9</f>
        <v>203207.52000000005</v>
      </c>
      <c r="F18" s="15"/>
      <c r="G18" s="17" t="e">
        <f>G17+G16+G15+G14+G13+G12+G11+G10+G9+#REF!+#REF!</f>
        <v>#REF!</v>
      </c>
    </row>
    <row r="19" spans="1:9">
      <c r="A19" s="4"/>
      <c r="B19" s="5" t="s">
        <v>14</v>
      </c>
      <c r="C19" s="12" t="s">
        <v>19</v>
      </c>
      <c r="D19" s="12"/>
      <c r="E19" s="10">
        <f>E6-E18</f>
        <v>0</v>
      </c>
    </row>
    <row r="20" spans="1:9">
      <c r="A20" s="4"/>
      <c r="B20" s="91" t="s">
        <v>15</v>
      </c>
      <c r="C20" s="92"/>
      <c r="D20" s="92"/>
      <c r="E20" s="93"/>
    </row>
    <row r="21" spans="1:9">
      <c r="A21" s="4"/>
      <c r="B21" s="5" t="s">
        <v>16</v>
      </c>
      <c r="C21" s="12" t="s">
        <v>19</v>
      </c>
      <c r="D21" s="12"/>
      <c r="E21" s="10"/>
    </row>
    <row r="22" spans="1:9">
      <c r="A22" s="68"/>
      <c r="B22" s="22" t="s">
        <v>77</v>
      </c>
      <c r="C22" s="12" t="s">
        <v>19</v>
      </c>
      <c r="D22" s="12"/>
      <c r="E22" s="21">
        <v>13000</v>
      </c>
    </row>
    <row r="23" spans="1:9">
      <c r="B23" s="12" t="s">
        <v>25</v>
      </c>
      <c r="C23" s="12" t="s">
        <v>19</v>
      </c>
      <c r="D23" s="12"/>
      <c r="E23" s="11">
        <f>E22</f>
        <v>13000</v>
      </c>
    </row>
    <row r="24" spans="1:9">
      <c r="B24" s="5" t="s">
        <v>14</v>
      </c>
      <c r="C24" s="12" t="s">
        <v>19</v>
      </c>
      <c r="D24" s="12"/>
      <c r="E24" s="20">
        <f>E5-E18-E23</f>
        <v>-13000.000000000058</v>
      </c>
    </row>
  </sheetData>
  <mergeCells count="3">
    <mergeCell ref="A2:E2"/>
    <mergeCell ref="B8:E8"/>
    <mergeCell ref="B20:E20"/>
  </mergeCells>
  <phoneticPr fontId="6" type="noConversion"/>
  <pageMargins left="0.75" right="0.75" top="1" bottom="1" header="0.5" footer="0.5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24"/>
  <sheetViews>
    <sheetView workbookViewId="0">
      <selection activeCell="L15" sqref="L15"/>
    </sheetView>
  </sheetViews>
  <sheetFormatPr defaultColWidth="8.85546875" defaultRowHeight="12"/>
  <cols>
    <col min="1" max="1" width="2.85546875" style="3" customWidth="1"/>
    <col min="2" max="2" width="44.5703125" style="3" customWidth="1"/>
    <col min="3" max="3" width="10" style="13" customWidth="1"/>
    <col min="4" max="4" width="15.5703125" style="13" customWidth="1"/>
    <col min="5" max="5" width="14.7109375" style="13" customWidth="1"/>
    <col min="6" max="6" width="8.85546875" style="3"/>
    <col min="7" max="7" width="8.7109375" style="3" hidden="1" customWidth="1"/>
    <col min="8" max="8" width="17.5703125" style="3" hidden="1" customWidth="1"/>
    <col min="9" max="16384" width="8.85546875" style="3"/>
  </cols>
  <sheetData>
    <row r="1" spans="1:9">
      <c r="A1" s="1"/>
      <c r="B1" s="1"/>
      <c r="C1" s="9"/>
      <c r="D1" s="9"/>
      <c r="E1" s="2"/>
    </row>
    <row r="2" spans="1:9" ht="17.25" customHeight="1">
      <c r="A2" s="90" t="s">
        <v>26</v>
      </c>
      <c r="B2" s="90"/>
      <c r="C2" s="90"/>
      <c r="D2" s="90"/>
      <c r="E2" s="90"/>
    </row>
    <row r="3" spans="1:9">
      <c r="A3" s="1"/>
      <c r="B3" s="1"/>
      <c r="C3" s="9"/>
      <c r="D3" s="9"/>
      <c r="E3" s="9"/>
    </row>
    <row r="4" spans="1:9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9">
      <c r="A5" s="4"/>
      <c r="B5" s="5" t="s">
        <v>27</v>
      </c>
      <c r="C5" s="12" t="s">
        <v>19</v>
      </c>
      <c r="D5" s="12"/>
      <c r="E5" s="10">
        <f>E6</f>
        <v>404889.79200000002</v>
      </c>
    </row>
    <row r="6" spans="1:9">
      <c r="A6" s="4"/>
      <c r="B6" s="6" t="s">
        <v>4</v>
      </c>
      <c r="C6" s="12" t="s">
        <v>19</v>
      </c>
      <c r="D6" s="12" t="s">
        <v>78</v>
      </c>
      <c r="E6" s="11">
        <f>26.48*12*H6</f>
        <v>404889.79200000002</v>
      </c>
      <c r="G6" s="17">
        <v>78.349999999999994</v>
      </c>
      <c r="H6" s="3">
        <v>1274.2</v>
      </c>
    </row>
    <row r="7" spans="1:9">
      <c r="A7" s="4"/>
      <c r="B7" s="4"/>
      <c r="C7" s="12"/>
      <c r="D7" s="12"/>
      <c r="E7" s="12"/>
      <c r="H7" s="3">
        <v>1274.2</v>
      </c>
    </row>
    <row r="8" spans="1:9">
      <c r="A8" s="4"/>
      <c r="B8" s="91" t="s">
        <v>6</v>
      </c>
      <c r="C8" s="92"/>
      <c r="D8" s="92"/>
      <c r="E8" s="93"/>
      <c r="H8" s="3">
        <v>1274.2</v>
      </c>
    </row>
    <row r="9" spans="1:9">
      <c r="A9" s="4"/>
      <c r="B9" s="7" t="s">
        <v>8</v>
      </c>
      <c r="C9" s="12" t="s">
        <v>19</v>
      </c>
      <c r="D9" s="12" t="s">
        <v>30</v>
      </c>
      <c r="E9" s="19">
        <f>2.31*12*H9</f>
        <v>35320.824000000001</v>
      </c>
      <c r="G9" s="17">
        <v>12.62</v>
      </c>
      <c r="H9" s="3">
        <v>1274.2</v>
      </c>
      <c r="I9" s="73"/>
    </row>
    <row r="10" spans="1:9">
      <c r="A10" s="4"/>
      <c r="B10" s="7" t="s">
        <v>7</v>
      </c>
      <c r="C10" s="12" t="s">
        <v>19</v>
      </c>
      <c r="D10" s="28"/>
      <c r="E10" s="19">
        <f>2.84*12*H10</f>
        <v>43424.735999999997</v>
      </c>
      <c r="G10" s="17"/>
      <c r="H10" s="3">
        <v>1274.2</v>
      </c>
      <c r="I10" s="73"/>
    </row>
    <row r="11" spans="1:9">
      <c r="A11" s="4"/>
      <c r="B11" s="7" t="s">
        <v>9</v>
      </c>
      <c r="C11" s="12" t="s">
        <v>19</v>
      </c>
      <c r="D11" s="12" t="s">
        <v>31</v>
      </c>
      <c r="E11" s="19">
        <f>4.15*12*H11</f>
        <v>63455.160000000011</v>
      </c>
      <c r="G11" s="17">
        <v>15.55</v>
      </c>
      <c r="H11" s="3">
        <v>1274.2</v>
      </c>
      <c r="I11" s="73"/>
    </row>
    <row r="12" spans="1:9">
      <c r="A12" s="4"/>
      <c r="B12" s="7" t="s">
        <v>10</v>
      </c>
      <c r="C12" s="12" t="s">
        <v>19</v>
      </c>
      <c r="D12" s="29" t="s">
        <v>32</v>
      </c>
      <c r="E12" s="19">
        <f>1.96*12*H12</f>
        <v>29969.184000000001</v>
      </c>
      <c r="G12" s="17">
        <v>11.46</v>
      </c>
      <c r="H12" s="3">
        <v>1274.2</v>
      </c>
      <c r="I12" s="73"/>
    </row>
    <row r="13" spans="1:9">
      <c r="A13" s="4"/>
      <c r="B13" s="7" t="s">
        <v>11</v>
      </c>
      <c r="C13" s="12" t="s">
        <v>19</v>
      </c>
      <c r="D13" s="28" t="s">
        <v>33</v>
      </c>
      <c r="E13" s="19">
        <f>2.93*12*H13</f>
        <v>44800.872000000003</v>
      </c>
      <c r="G13" s="17">
        <v>13.98</v>
      </c>
      <c r="H13" s="3">
        <v>1274.2</v>
      </c>
      <c r="I13" s="73"/>
    </row>
    <row r="14" spans="1:9">
      <c r="A14" s="4"/>
      <c r="B14" s="7" t="s">
        <v>12</v>
      </c>
      <c r="C14" s="12" t="s">
        <v>19</v>
      </c>
      <c r="D14" s="28" t="s">
        <v>33</v>
      </c>
      <c r="E14" s="19">
        <f>2.26*12*H14</f>
        <v>34556.303999999996</v>
      </c>
      <c r="G14" s="17">
        <v>8.1199999999999992</v>
      </c>
      <c r="H14" s="3">
        <v>1274.2</v>
      </c>
      <c r="I14" s="73"/>
    </row>
    <row r="15" spans="1:9" ht="48">
      <c r="A15" s="4"/>
      <c r="B15" s="30" t="s">
        <v>34</v>
      </c>
      <c r="C15" s="31" t="s">
        <v>19</v>
      </c>
      <c r="D15" s="31" t="s">
        <v>32</v>
      </c>
      <c r="E15" s="31">
        <f>9.47*12*H15</f>
        <v>144800.08800000002</v>
      </c>
      <c r="G15" s="17">
        <v>18.14</v>
      </c>
      <c r="H15" s="3">
        <v>1274.2</v>
      </c>
      <c r="I15" s="73"/>
    </row>
    <row r="16" spans="1:9">
      <c r="A16" s="4"/>
      <c r="B16" s="7" t="s">
        <v>17</v>
      </c>
      <c r="C16" s="12" t="s">
        <v>19</v>
      </c>
      <c r="D16" s="12" t="s">
        <v>33</v>
      </c>
      <c r="E16" s="19">
        <f>0.19*12*H16</f>
        <v>2905.1760000000004</v>
      </c>
      <c r="F16" s="15"/>
      <c r="G16" s="17">
        <v>0.41</v>
      </c>
      <c r="H16" s="3">
        <v>1274.2</v>
      </c>
      <c r="I16" s="73"/>
    </row>
    <row r="17" spans="1:9">
      <c r="A17" s="4"/>
      <c r="B17" s="7" t="s">
        <v>18</v>
      </c>
      <c r="C17" s="12" t="s">
        <v>19</v>
      </c>
      <c r="D17" s="12" t="s">
        <v>30</v>
      </c>
      <c r="E17" s="19">
        <f>0.37*12*H17</f>
        <v>5657.4479999999994</v>
      </c>
      <c r="G17" s="17">
        <v>2.52</v>
      </c>
      <c r="H17" s="3">
        <v>1274.2</v>
      </c>
      <c r="I17" s="73"/>
    </row>
    <row r="18" spans="1:9">
      <c r="A18" s="4"/>
      <c r="B18" s="8" t="s">
        <v>13</v>
      </c>
      <c r="C18" s="12" t="s">
        <v>19</v>
      </c>
      <c r="D18" s="12"/>
      <c r="E18" s="10">
        <f>E17+E16+E15+E14+E13+E12+E11+E10+E9</f>
        <v>404889.79200000007</v>
      </c>
      <c r="F18" s="15"/>
      <c r="G18" s="17" t="e">
        <f>G17+G16+G15+G14+G13+G12+G11+G10+G9+#REF!+#REF!</f>
        <v>#REF!</v>
      </c>
    </row>
    <row r="19" spans="1:9">
      <c r="A19" s="4"/>
      <c r="B19" s="5" t="s">
        <v>14</v>
      </c>
      <c r="C19" s="12" t="s">
        <v>19</v>
      </c>
      <c r="D19" s="12"/>
      <c r="E19" s="10">
        <f>E6-E18</f>
        <v>0</v>
      </c>
    </row>
    <row r="20" spans="1:9">
      <c r="A20" s="4"/>
      <c r="B20" s="91" t="s">
        <v>15</v>
      </c>
      <c r="C20" s="92"/>
      <c r="D20" s="92"/>
      <c r="E20" s="93"/>
    </row>
    <row r="21" spans="1:9">
      <c r="A21" s="4"/>
      <c r="B21" s="5" t="s">
        <v>16</v>
      </c>
      <c r="C21" s="12" t="s">
        <v>19</v>
      </c>
      <c r="D21" s="12"/>
      <c r="E21" s="10"/>
    </row>
    <row r="22" spans="1:9">
      <c r="A22" s="68"/>
      <c r="B22" s="22" t="s">
        <v>77</v>
      </c>
      <c r="C22" s="12" t="s">
        <v>19</v>
      </c>
      <c r="D22" s="12"/>
      <c r="E22" s="21">
        <v>13000</v>
      </c>
    </row>
    <row r="23" spans="1:9">
      <c r="B23" s="12" t="s">
        <v>25</v>
      </c>
      <c r="C23" s="12" t="s">
        <v>19</v>
      </c>
      <c r="D23" s="12"/>
      <c r="E23" s="11">
        <f>E22</f>
        <v>13000</v>
      </c>
    </row>
    <row r="24" spans="1:9">
      <c r="B24" s="5" t="s">
        <v>14</v>
      </c>
      <c r="C24" s="12" t="s">
        <v>19</v>
      </c>
      <c r="D24" s="12"/>
      <c r="E24" s="20">
        <f>E5-E18-E23</f>
        <v>-13000.000000000058</v>
      </c>
    </row>
  </sheetData>
  <mergeCells count="3">
    <mergeCell ref="A2:E2"/>
    <mergeCell ref="B8:E8"/>
    <mergeCell ref="B20:E20"/>
  </mergeCells>
  <phoneticPr fontId="6" type="noConversion"/>
  <pageMargins left="0.75" right="0.75" top="1" bottom="1" header="0.5" footer="0.5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24"/>
  <sheetViews>
    <sheetView workbookViewId="0">
      <selection activeCell="K13" sqref="K13"/>
    </sheetView>
  </sheetViews>
  <sheetFormatPr defaultColWidth="8.85546875" defaultRowHeight="12"/>
  <cols>
    <col min="1" max="1" width="2.85546875" style="3" customWidth="1"/>
    <col min="2" max="2" width="44.5703125" style="3" customWidth="1"/>
    <col min="3" max="3" width="10" style="13" customWidth="1"/>
    <col min="4" max="4" width="15.5703125" style="13" customWidth="1"/>
    <col min="5" max="5" width="14.7109375" style="13" customWidth="1"/>
    <col min="6" max="6" width="8.85546875" style="3"/>
    <col min="7" max="7" width="8.7109375" style="3" hidden="1" customWidth="1"/>
    <col min="8" max="8" width="7.42578125" style="3" hidden="1" customWidth="1"/>
    <col min="9" max="16384" width="8.85546875" style="3"/>
  </cols>
  <sheetData>
    <row r="1" spans="1:9">
      <c r="A1" s="1"/>
      <c r="B1" s="1"/>
      <c r="C1" s="9"/>
      <c r="D1" s="9"/>
      <c r="E1" s="2"/>
    </row>
    <row r="2" spans="1:9" ht="17.25" customHeight="1">
      <c r="A2" s="90" t="s">
        <v>26</v>
      </c>
      <c r="B2" s="90"/>
      <c r="C2" s="90"/>
      <c r="D2" s="90"/>
      <c r="E2" s="90"/>
    </row>
    <row r="3" spans="1:9">
      <c r="A3" s="1"/>
      <c r="B3" s="1"/>
      <c r="C3" s="9"/>
      <c r="D3" s="9"/>
      <c r="E3" s="9"/>
    </row>
    <row r="4" spans="1:9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9">
      <c r="A5" s="4"/>
      <c r="B5" s="5" t="s">
        <v>27</v>
      </c>
      <c r="C5" s="12" t="s">
        <v>19</v>
      </c>
      <c r="D5" s="12"/>
      <c r="E5" s="10">
        <f>E6</f>
        <v>406402.3296</v>
      </c>
    </row>
    <row r="6" spans="1:9">
      <c r="A6" s="4"/>
      <c r="B6" s="6" t="s">
        <v>4</v>
      </c>
      <c r="C6" s="12" t="s">
        <v>19</v>
      </c>
      <c r="D6" s="12" t="s">
        <v>78</v>
      </c>
      <c r="E6" s="11">
        <f>26.48*12*H6</f>
        <v>406402.3296</v>
      </c>
      <c r="G6" s="17">
        <v>78.349999999999994</v>
      </c>
      <c r="H6" s="3">
        <v>1278.96</v>
      </c>
    </row>
    <row r="7" spans="1:9">
      <c r="A7" s="4"/>
      <c r="B7" s="4"/>
      <c r="C7" s="12"/>
      <c r="D7" s="12"/>
      <c r="E7" s="12"/>
      <c r="H7" s="3">
        <v>1278.96</v>
      </c>
    </row>
    <row r="8" spans="1:9">
      <c r="A8" s="4"/>
      <c r="B8" s="91" t="s">
        <v>6</v>
      </c>
      <c r="C8" s="92"/>
      <c r="D8" s="92"/>
      <c r="E8" s="93"/>
      <c r="H8" s="3">
        <v>1278.96</v>
      </c>
    </row>
    <row r="9" spans="1:9">
      <c r="A9" s="4"/>
      <c r="B9" s="7" t="s">
        <v>8</v>
      </c>
      <c r="C9" s="12" t="s">
        <v>19</v>
      </c>
      <c r="D9" s="12" t="s">
        <v>30</v>
      </c>
      <c r="E9" s="19">
        <f>2.31*12*H9</f>
        <v>35452.771200000003</v>
      </c>
      <c r="G9" s="17">
        <v>12.62</v>
      </c>
      <c r="H9" s="3">
        <v>1278.96</v>
      </c>
      <c r="I9" s="73"/>
    </row>
    <row r="10" spans="1:9">
      <c r="A10" s="4"/>
      <c r="B10" s="7" t="s">
        <v>7</v>
      </c>
      <c r="C10" s="12" t="s">
        <v>19</v>
      </c>
      <c r="D10" s="28"/>
      <c r="E10" s="19">
        <f>2.84*12*H10</f>
        <v>43586.9568</v>
      </c>
      <c r="G10" s="17"/>
      <c r="H10" s="3">
        <v>1278.96</v>
      </c>
      <c r="I10" s="73"/>
    </row>
    <row r="11" spans="1:9">
      <c r="A11" s="4"/>
      <c r="B11" s="7" t="s">
        <v>9</v>
      </c>
      <c r="C11" s="12" t="s">
        <v>19</v>
      </c>
      <c r="D11" s="12" t="s">
        <v>31</v>
      </c>
      <c r="E11" s="19">
        <f>4.15*12*H11</f>
        <v>63692.208000000006</v>
      </c>
      <c r="G11" s="17">
        <v>15.55</v>
      </c>
      <c r="H11" s="3">
        <v>1278.96</v>
      </c>
      <c r="I11" s="73"/>
    </row>
    <row r="12" spans="1:9">
      <c r="A12" s="4"/>
      <c r="B12" s="7" t="s">
        <v>10</v>
      </c>
      <c r="C12" s="12" t="s">
        <v>19</v>
      </c>
      <c r="D12" s="29" t="s">
        <v>32</v>
      </c>
      <c r="E12" s="19">
        <f>1.96*12*H12</f>
        <v>30081.139200000001</v>
      </c>
      <c r="G12" s="17">
        <v>11.46</v>
      </c>
      <c r="H12" s="3">
        <v>1278.96</v>
      </c>
      <c r="I12" s="73"/>
    </row>
    <row r="13" spans="1:9">
      <c r="A13" s="4"/>
      <c r="B13" s="7" t="s">
        <v>11</v>
      </c>
      <c r="C13" s="12" t="s">
        <v>19</v>
      </c>
      <c r="D13" s="28" t="s">
        <v>33</v>
      </c>
      <c r="E13" s="19">
        <f>2.93*12*H13</f>
        <v>44968.233600000007</v>
      </c>
      <c r="G13" s="17">
        <v>13.98</v>
      </c>
      <c r="H13" s="3">
        <v>1278.96</v>
      </c>
      <c r="I13" s="73"/>
    </row>
    <row r="14" spans="1:9">
      <c r="A14" s="4"/>
      <c r="B14" s="7" t="s">
        <v>12</v>
      </c>
      <c r="C14" s="12" t="s">
        <v>19</v>
      </c>
      <c r="D14" s="28" t="s">
        <v>33</v>
      </c>
      <c r="E14" s="19">
        <f>2.26*12*H14</f>
        <v>34685.395199999999</v>
      </c>
      <c r="G14" s="17">
        <v>8.1199999999999992</v>
      </c>
      <c r="H14" s="3">
        <v>1278.96</v>
      </c>
      <c r="I14" s="73"/>
    </row>
    <row r="15" spans="1:9" ht="48">
      <c r="A15" s="4"/>
      <c r="B15" s="30" t="s">
        <v>34</v>
      </c>
      <c r="C15" s="31" t="s">
        <v>19</v>
      </c>
      <c r="D15" s="31" t="s">
        <v>32</v>
      </c>
      <c r="E15" s="31">
        <f>9.47*12*H15</f>
        <v>145341.01440000001</v>
      </c>
      <c r="G15" s="17">
        <v>18.14</v>
      </c>
      <c r="H15" s="3">
        <v>1278.96</v>
      </c>
      <c r="I15" s="73"/>
    </row>
    <row r="16" spans="1:9">
      <c r="A16" s="4"/>
      <c r="B16" s="7" t="s">
        <v>17</v>
      </c>
      <c r="C16" s="12" t="s">
        <v>19</v>
      </c>
      <c r="D16" s="12" t="s">
        <v>33</v>
      </c>
      <c r="E16" s="19">
        <f>0.19*12*H16</f>
        <v>2916.0288000000005</v>
      </c>
      <c r="F16" s="15"/>
      <c r="G16" s="17">
        <v>0.41</v>
      </c>
      <c r="H16" s="3">
        <v>1278.96</v>
      </c>
      <c r="I16" s="73"/>
    </row>
    <row r="17" spans="1:9">
      <c r="A17" s="4"/>
      <c r="B17" s="7" t="s">
        <v>18</v>
      </c>
      <c r="C17" s="12" t="s">
        <v>19</v>
      </c>
      <c r="D17" s="12" t="s">
        <v>30</v>
      </c>
      <c r="E17" s="19">
        <f>0.37*12*H17</f>
        <v>5678.5823999999993</v>
      </c>
      <c r="G17" s="17">
        <v>2.52</v>
      </c>
      <c r="H17" s="3">
        <v>1278.96</v>
      </c>
      <c r="I17" s="73"/>
    </row>
    <row r="18" spans="1:9">
      <c r="A18" s="4"/>
      <c r="B18" s="8" t="s">
        <v>13</v>
      </c>
      <c r="C18" s="12" t="s">
        <v>19</v>
      </c>
      <c r="D18" s="12"/>
      <c r="E18" s="10">
        <f>E17+E16+E15+E14+E13+E12+E11+E10+E9</f>
        <v>406402.3296</v>
      </c>
      <c r="F18" s="15"/>
      <c r="G18" s="17" t="e">
        <f>G17+G16+G15+G14+G13+G12+G11+G10+G9+#REF!+#REF!</f>
        <v>#REF!</v>
      </c>
    </row>
    <row r="19" spans="1:9">
      <c r="A19" s="4"/>
      <c r="B19" s="5" t="s">
        <v>14</v>
      </c>
      <c r="C19" s="12" t="s">
        <v>19</v>
      </c>
      <c r="D19" s="12"/>
      <c r="E19" s="10">
        <f>E6-E18</f>
        <v>0</v>
      </c>
    </row>
    <row r="20" spans="1:9">
      <c r="A20" s="4"/>
      <c r="B20" s="91" t="s">
        <v>15</v>
      </c>
      <c r="C20" s="92"/>
      <c r="D20" s="92"/>
      <c r="E20" s="93"/>
    </row>
    <row r="21" spans="1:9">
      <c r="A21" s="4"/>
      <c r="B21" s="5" t="s">
        <v>16</v>
      </c>
      <c r="C21" s="12" t="s">
        <v>19</v>
      </c>
      <c r="D21" s="12"/>
      <c r="E21" s="10"/>
    </row>
    <row r="22" spans="1:9">
      <c r="A22" s="68"/>
      <c r="B22" s="22" t="s">
        <v>77</v>
      </c>
      <c r="C22" s="12" t="s">
        <v>19</v>
      </c>
      <c r="D22" s="12"/>
      <c r="E22" s="21">
        <v>13000</v>
      </c>
    </row>
    <row r="23" spans="1:9">
      <c r="B23" s="12" t="s">
        <v>25</v>
      </c>
      <c r="C23" s="12" t="s">
        <v>19</v>
      </c>
      <c r="D23" s="12"/>
      <c r="E23" s="11">
        <f>E22</f>
        <v>13000</v>
      </c>
    </row>
    <row r="24" spans="1:9">
      <c r="B24" s="5" t="s">
        <v>14</v>
      </c>
      <c r="C24" s="12" t="s">
        <v>19</v>
      </c>
      <c r="D24" s="12"/>
      <c r="E24" s="20">
        <f>E5-E18-E23</f>
        <v>-13000</v>
      </c>
    </row>
  </sheetData>
  <mergeCells count="3">
    <mergeCell ref="A2:E2"/>
    <mergeCell ref="B8:E8"/>
    <mergeCell ref="B20:E20"/>
  </mergeCells>
  <phoneticPr fontId="6" type="noConversion"/>
  <pageMargins left="0.75" right="0.75" top="1" bottom="1" header="0.5" footer="0.5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24"/>
  <sheetViews>
    <sheetView workbookViewId="0">
      <selection activeCell="H1" sqref="H1:H65536"/>
    </sheetView>
  </sheetViews>
  <sheetFormatPr defaultColWidth="8.85546875" defaultRowHeight="12"/>
  <cols>
    <col min="1" max="1" width="2.85546875" style="3" customWidth="1"/>
    <col min="2" max="2" width="44.5703125" style="3" customWidth="1"/>
    <col min="3" max="3" width="10" style="13" customWidth="1"/>
    <col min="4" max="4" width="15.5703125" style="13" customWidth="1"/>
    <col min="5" max="5" width="14.7109375" style="13" customWidth="1"/>
    <col min="6" max="6" width="8.85546875" style="3"/>
    <col min="7" max="7" width="8.7109375" style="3" hidden="1" customWidth="1"/>
    <col min="8" max="8" width="13.5703125" style="3" hidden="1" customWidth="1"/>
    <col min="9" max="16384" width="8.85546875" style="3"/>
  </cols>
  <sheetData>
    <row r="1" spans="1:9">
      <c r="A1" s="1"/>
      <c r="B1" s="1"/>
      <c r="C1" s="9"/>
      <c r="D1" s="9"/>
      <c r="E1" s="2"/>
    </row>
    <row r="2" spans="1:9" ht="17.25" customHeight="1">
      <c r="A2" s="90" t="s">
        <v>26</v>
      </c>
      <c r="B2" s="90"/>
      <c r="C2" s="90"/>
      <c r="D2" s="90"/>
      <c r="E2" s="90"/>
    </row>
    <row r="3" spans="1:9">
      <c r="A3" s="1"/>
      <c r="B3" s="1"/>
      <c r="C3" s="9"/>
      <c r="D3" s="9"/>
      <c r="E3" s="9"/>
    </row>
    <row r="4" spans="1:9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9">
      <c r="A5" s="4"/>
      <c r="B5" s="5" t="s">
        <v>27</v>
      </c>
      <c r="C5" s="12" t="s">
        <v>19</v>
      </c>
      <c r="D5" s="12"/>
      <c r="E5" s="10">
        <f>E6</f>
        <v>406402.3296</v>
      </c>
    </row>
    <row r="6" spans="1:9">
      <c r="A6" s="4"/>
      <c r="B6" s="6" t="s">
        <v>4</v>
      </c>
      <c r="C6" s="12" t="s">
        <v>19</v>
      </c>
      <c r="D6" s="12" t="s">
        <v>78</v>
      </c>
      <c r="E6" s="11">
        <f>26.48*12*H6</f>
        <v>406402.3296</v>
      </c>
      <c r="G6" s="17">
        <v>78.349999999999994</v>
      </c>
      <c r="H6" s="3">
        <v>1278.96</v>
      </c>
    </row>
    <row r="7" spans="1:9">
      <c r="A7" s="4"/>
      <c r="B7" s="4"/>
      <c r="C7" s="12"/>
      <c r="D7" s="12"/>
      <c r="E7" s="12"/>
      <c r="H7" s="3">
        <v>1278.96</v>
      </c>
    </row>
    <row r="8" spans="1:9">
      <c r="A8" s="4"/>
      <c r="B8" s="91" t="s">
        <v>6</v>
      </c>
      <c r="C8" s="92"/>
      <c r="D8" s="92"/>
      <c r="E8" s="93"/>
      <c r="H8" s="3">
        <v>1278.96</v>
      </c>
    </row>
    <row r="9" spans="1:9">
      <c r="A9" s="4"/>
      <c r="B9" s="7" t="s">
        <v>8</v>
      </c>
      <c r="C9" s="12" t="s">
        <v>19</v>
      </c>
      <c r="D9" s="12" t="s">
        <v>30</v>
      </c>
      <c r="E9" s="19">
        <f>2.31*12*H9</f>
        <v>35452.771200000003</v>
      </c>
      <c r="G9" s="17">
        <v>12.62</v>
      </c>
      <c r="H9" s="3">
        <v>1278.96</v>
      </c>
      <c r="I9" s="73"/>
    </row>
    <row r="10" spans="1:9">
      <c r="A10" s="4"/>
      <c r="B10" s="7" t="s">
        <v>7</v>
      </c>
      <c r="C10" s="12" t="s">
        <v>19</v>
      </c>
      <c r="D10" s="28"/>
      <c r="E10" s="19">
        <f>2.84*12*H10</f>
        <v>43586.9568</v>
      </c>
      <c r="G10" s="17"/>
      <c r="H10" s="3">
        <v>1278.96</v>
      </c>
      <c r="I10" s="73"/>
    </row>
    <row r="11" spans="1:9">
      <c r="A11" s="4"/>
      <c r="B11" s="7" t="s">
        <v>9</v>
      </c>
      <c r="C11" s="12" t="s">
        <v>19</v>
      </c>
      <c r="D11" s="12" t="s">
        <v>31</v>
      </c>
      <c r="E11" s="19">
        <f>4.15*12*H11</f>
        <v>63692.208000000006</v>
      </c>
      <c r="G11" s="17">
        <v>15.55</v>
      </c>
      <c r="H11" s="3">
        <v>1278.96</v>
      </c>
      <c r="I11" s="73"/>
    </row>
    <row r="12" spans="1:9">
      <c r="A12" s="4"/>
      <c r="B12" s="7" t="s">
        <v>10</v>
      </c>
      <c r="C12" s="12" t="s">
        <v>19</v>
      </c>
      <c r="D12" s="29" t="s">
        <v>32</v>
      </c>
      <c r="E12" s="19">
        <f>1.96*12*H12</f>
        <v>30081.139200000001</v>
      </c>
      <c r="G12" s="17">
        <v>11.46</v>
      </c>
      <c r="H12" s="3">
        <v>1278.96</v>
      </c>
      <c r="I12" s="73"/>
    </row>
    <row r="13" spans="1:9">
      <c r="A13" s="4"/>
      <c r="B13" s="7" t="s">
        <v>11</v>
      </c>
      <c r="C13" s="12" t="s">
        <v>19</v>
      </c>
      <c r="D13" s="28" t="s">
        <v>33</v>
      </c>
      <c r="E13" s="19">
        <f>2.93*12*H13</f>
        <v>44968.233600000007</v>
      </c>
      <c r="G13" s="17">
        <v>13.98</v>
      </c>
      <c r="H13" s="3">
        <v>1278.96</v>
      </c>
      <c r="I13" s="73"/>
    </row>
    <row r="14" spans="1:9">
      <c r="A14" s="4"/>
      <c r="B14" s="7" t="s">
        <v>12</v>
      </c>
      <c r="C14" s="12" t="s">
        <v>19</v>
      </c>
      <c r="D14" s="28" t="s">
        <v>33</v>
      </c>
      <c r="E14" s="19">
        <f>2.26*12*H14</f>
        <v>34685.395199999999</v>
      </c>
      <c r="G14" s="17">
        <v>8.1199999999999992</v>
      </c>
      <c r="H14" s="3">
        <v>1278.96</v>
      </c>
      <c r="I14" s="73"/>
    </row>
    <row r="15" spans="1:9" ht="48">
      <c r="A15" s="4"/>
      <c r="B15" s="30" t="s">
        <v>34</v>
      </c>
      <c r="C15" s="31" t="s">
        <v>19</v>
      </c>
      <c r="D15" s="31" t="s">
        <v>32</v>
      </c>
      <c r="E15" s="31">
        <f>9.47*12*H15</f>
        <v>145341.01440000001</v>
      </c>
      <c r="G15" s="17">
        <v>18.14</v>
      </c>
      <c r="H15" s="3">
        <v>1278.96</v>
      </c>
      <c r="I15" s="73"/>
    </row>
    <row r="16" spans="1:9">
      <c r="A16" s="4"/>
      <c r="B16" s="7" t="s">
        <v>17</v>
      </c>
      <c r="C16" s="12" t="s">
        <v>19</v>
      </c>
      <c r="D16" s="12" t="s">
        <v>33</v>
      </c>
      <c r="E16" s="19">
        <f>0.19*12*H16</f>
        <v>2916.0288000000005</v>
      </c>
      <c r="F16" s="15"/>
      <c r="G16" s="17">
        <v>0.41</v>
      </c>
      <c r="H16" s="3">
        <v>1278.96</v>
      </c>
      <c r="I16" s="73"/>
    </row>
    <row r="17" spans="1:9">
      <c r="A17" s="4"/>
      <c r="B17" s="7" t="s">
        <v>18</v>
      </c>
      <c r="C17" s="12" t="s">
        <v>19</v>
      </c>
      <c r="D17" s="12" t="s">
        <v>30</v>
      </c>
      <c r="E17" s="19">
        <f>0.37*12*H17</f>
        <v>5678.5823999999993</v>
      </c>
      <c r="G17" s="17">
        <v>2.52</v>
      </c>
      <c r="H17" s="3">
        <v>1278.96</v>
      </c>
      <c r="I17" s="73"/>
    </row>
    <row r="18" spans="1:9">
      <c r="A18" s="4"/>
      <c r="B18" s="8" t="s">
        <v>13</v>
      </c>
      <c r="C18" s="12" t="s">
        <v>19</v>
      </c>
      <c r="D18" s="12"/>
      <c r="E18" s="10">
        <f>E17+E16+E15+E14+E13+E12+E11+E10+E9</f>
        <v>406402.3296</v>
      </c>
      <c r="F18" s="15"/>
      <c r="G18" s="17" t="e">
        <f>G17+G16+G15+G14+G13+G12+G11+G10+G9+#REF!+#REF!</f>
        <v>#REF!</v>
      </c>
    </row>
    <row r="19" spans="1:9">
      <c r="A19" s="4"/>
      <c r="B19" s="5" t="s">
        <v>14</v>
      </c>
      <c r="C19" s="12" t="s">
        <v>19</v>
      </c>
      <c r="D19" s="12"/>
      <c r="E19" s="10">
        <f>E6-E18</f>
        <v>0</v>
      </c>
    </row>
    <row r="20" spans="1:9">
      <c r="A20" s="4"/>
      <c r="B20" s="91" t="s">
        <v>15</v>
      </c>
      <c r="C20" s="92"/>
      <c r="D20" s="92"/>
      <c r="E20" s="93"/>
    </row>
    <row r="21" spans="1:9">
      <c r="A21" s="4"/>
      <c r="B21" s="5" t="s">
        <v>16</v>
      </c>
      <c r="C21" s="12" t="s">
        <v>19</v>
      </c>
      <c r="D21" s="12"/>
      <c r="E21" s="10"/>
    </row>
    <row r="22" spans="1:9">
      <c r="A22" s="68"/>
      <c r="B22" s="22" t="s">
        <v>77</v>
      </c>
      <c r="C22" s="12" t="s">
        <v>19</v>
      </c>
      <c r="D22" s="12"/>
      <c r="E22" s="21">
        <v>13000</v>
      </c>
    </row>
    <row r="23" spans="1:9">
      <c r="B23" s="12" t="s">
        <v>25</v>
      </c>
      <c r="C23" s="12" t="s">
        <v>19</v>
      </c>
      <c r="D23" s="12"/>
      <c r="E23" s="11">
        <f>E22</f>
        <v>13000</v>
      </c>
    </row>
    <row r="24" spans="1:9">
      <c r="B24" s="5" t="s">
        <v>14</v>
      </c>
      <c r="C24" s="12" t="s">
        <v>19</v>
      </c>
      <c r="D24" s="12"/>
      <c r="E24" s="20">
        <f>E5-E18-E23</f>
        <v>-13000</v>
      </c>
    </row>
  </sheetData>
  <mergeCells count="3">
    <mergeCell ref="A2:E2"/>
    <mergeCell ref="B8:E8"/>
    <mergeCell ref="B20:E20"/>
  </mergeCells>
  <phoneticPr fontId="6" type="noConversion"/>
  <pageMargins left="0.75" right="0.75" top="1" bottom="1" header="0.5" footer="0.5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24"/>
  <sheetViews>
    <sheetView workbookViewId="0">
      <selection activeCell="H1" sqref="H1:H65536"/>
    </sheetView>
  </sheetViews>
  <sheetFormatPr defaultColWidth="8.85546875" defaultRowHeight="12"/>
  <cols>
    <col min="1" max="1" width="2.85546875" style="3" customWidth="1"/>
    <col min="2" max="2" width="44.5703125" style="3" customWidth="1"/>
    <col min="3" max="3" width="10" style="13" customWidth="1"/>
    <col min="4" max="4" width="15.5703125" style="13" customWidth="1"/>
    <col min="5" max="5" width="14.7109375" style="13" customWidth="1"/>
    <col min="6" max="6" width="8.85546875" style="3"/>
    <col min="7" max="7" width="8.7109375" style="3" hidden="1" customWidth="1"/>
    <col min="8" max="8" width="13.28515625" style="3" hidden="1" customWidth="1"/>
    <col min="9" max="16384" width="8.85546875" style="3"/>
  </cols>
  <sheetData>
    <row r="1" spans="1:9">
      <c r="A1" s="1"/>
      <c r="B1" s="1"/>
      <c r="C1" s="9"/>
      <c r="D1" s="9"/>
      <c r="E1" s="2"/>
    </row>
    <row r="2" spans="1:9" ht="17.25" customHeight="1">
      <c r="A2" s="90" t="s">
        <v>26</v>
      </c>
      <c r="B2" s="90"/>
      <c r="C2" s="90"/>
      <c r="D2" s="90"/>
      <c r="E2" s="90"/>
    </row>
    <row r="3" spans="1:9">
      <c r="A3" s="1"/>
      <c r="B3" s="1"/>
      <c r="C3" s="9"/>
      <c r="D3" s="9"/>
      <c r="E3" s="9"/>
    </row>
    <row r="4" spans="1:9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9">
      <c r="A5" s="4"/>
      <c r="B5" s="5" t="s">
        <v>27</v>
      </c>
      <c r="C5" s="12" t="s">
        <v>19</v>
      </c>
      <c r="D5" s="12"/>
      <c r="E5" s="10">
        <f>E6</f>
        <v>201704.51519999999</v>
      </c>
    </row>
    <row r="6" spans="1:9">
      <c r="A6" s="4"/>
      <c r="B6" s="6" t="s">
        <v>4</v>
      </c>
      <c r="C6" s="12" t="s">
        <v>19</v>
      </c>
      <c r="D6" s="12" t="s">
        <v>78</v>
      </c>
      <c r="E6" s="11">
        <f>26.48*12*H6</f>
        <v>201704.51519999999</v>
      </c>
      <c r="G6" s="17">
        <v>78.349999999999994</v>
      </c>
      <c r="H6" s="3">
        <v>634.77</v>
      </c>
    </row>
    <row r="7" spans="1:9">
      <c r="A7" s="4"/>
      <c r="B7" s="4"/>
      <c r="C7" s="12"/>
      <c r="D7" s="12"/>
      <c r="E7" s="12"/>
      <c r="H7" s="3">
        <v>634.77</v>
      </c>
    </row>
    <row r="8" spans="1:9">
      <c r="A8" s="4"/>
      <c r="B8" s="91" t="s">
        <v>6</v>
      </c>
      <c r="C8" s="92"/>
      <c r="D8" s="92"/>
      <c r="E8" s="93"/>
      <c r="H8" s="3">
        <v>634.77</v>
      </c>
    </row>
    <row r="9" spans="1:9">
      <c r="A9" s="4"/>
      <c r="B9" s="7" t="s">
        <v>8</v>
      </c>
      <c r="C9" s="12" t="s">
        <v>19</v>
      </c>
      <c r="D9" s="12" t="s">
        <v>30</v>
      </c>
      <c r="E9" s="19">
        <f>2.31*12*H9</f>
        <v>17595.824399999998</v>
      </c>
      <c r="G9" s="17">
        <v>12.62</v>
      </c>
      <c r="H9" s="3">
        <v>634.77</v>
      </c>
      <c r="I9" s="73"/>
    </row>
    <row r="10" spans="1:9">
      <c r="A10" s="4"/>
      <c r="B10" s="7" t="s">
        <v>7</v>
      </c>
      <c r="C10" s="12" t="s">
        <v>19</v>
      </c>
      <c r="D10" s="28"/>
      <c r="E10" s="19">
        <f>2.84*12*H10</f>
        <v>21632.961599999999</v>
      </c>
      <c r="G10" s="17"/>
      <c r="H10" s="3">
        <v>634.77</v>
      </c>
      <c r="I10" s="73"/>
    </row>
    <row r="11" spans="1:9">
      <c r="A11" s="4"/>
      <c r="B11" s="7" t="s">
        <v>9</v>
      </c>
      <c r="C11" s="12" t="s">
        <v>19</v>
      </c>
      <c r="D11" s="12" t="s">
        <v>31</v>
      </c>
      <c r="E11" s="19">
        <f>4.15*12*H11</f>
        <v>31611.546000000002</v>
      </c>
      <c r="G11" s="17">
        <v>15.55</v>
      </c>
      <c r="H11" s="3">
        <v>634.77</v>
      </c>
      <c r="I11" s="73"/>
    </row>
    <row r="12" spans="1:9">
      <c r="A12" s="4"/>
      <c r="B12" s="7" t="s">
        <v>10</v>
      </c>
      <c r="C12" s="12" t="s">
        <v>19</v>
      </c>
      <c r="D12" s="29" t="s">
        <v>32</v>
      </c>
      <c r="E12" s="19">
        <f>1.96*12*H12</f>
        <v>14929.7904</v>
      </c>
      <c r="G12" s="17">
        <v>11.46</v>
      </c>
      <c r="H12" s="3">
        <v>634.77</v>
      </c>
      <c r="I12" s="73"/>
    </row>
    <row r="13" spans="1:9">
      <c r="A13" s="4"/>
      <c r="B13" s="7" t="s">
        <v>11</v>
      </c>
      <c r="C13" s="12" t="s">
        <v>19</v>
      </c>
      <c r="D13" s="28" t="s">
        <v>33</v>
      </c>
      <c r="E13" s="19">
        <f>2.93*12*H13</f>
        <v>22318.513200000001</v>
      </c>
      <c r="G13" s="17">
        <v>13.98</v>
      </c>
      <c r="H13" s="3">
        <v>634.77</v>
      </c>
      <c r="I13" s="73"/>
    </row>
    <row r="14" spans="1:9">
      <c r="A14" s="4"/>
      <c r="B14" s="7" t="s">
        <v>12</v>
      </c>
      <c r="C14" s="12" t="s">
        <v>19</v>
      </c>
      <c r="D14" s="28" t="s">
        <v>33</v>
      </c>
      <c r="E14" s="19">
        <f>2.26*12*H14</f>
        <v>17214.962399999997</v>
      </c>
      <c r="G14" s="17">
        <v>8.1199999999999992</v>
      </c>
      <c r="H14" s="3">
        <v>634.77</v>
      </c>
      <c r="I14" s="73"/>
    </row>
    <row r="15" spans="1:9" ht="48">
      <c r="A15" s="4"/>
      <c r="B15" s="30" t="s">
        <v>34</v>
      </c>
      <c r="C15" s="31" t="s">
        <v>19</v>
      </c>
      <c r="D15" s="31" t="s">
        <v>32</v>
      </c>
      <c r="E15" s="31">
        <f>9.47*12*H15</f>
        <v>72135.262800000011</v>
      </c>
      <c r="G15" s="17">
        <v>18.14</v>
      </c>
      <c r="H15" s="3">
        <v>634.77</v>
      </c>
      <c r="I15" s="73"/>
    </row>
    <row r="16" spans="1:9">
      <c r="A16" s="4"/>
      <c r="B16" s="7" t="s">
        <v>17</v>
      </c>
      <c r="C16" s="12" t="s">
        <v>19</v>
      </c>
      <c r="D16" s="12" t="s">
        <v>33</v>
      </c>
      <c r="E16" s="19">
        <f>0.19*12*H16</f>
        <v>1447.2756000000002</v>
      </c>
      <c r="F16" s="15"/>
      <c r="G16" s="17">
        <v>0.41</v>
      </c>
      <c r="H16" s="3">
        <v>634.77</v>
      </c>
      <c r="I16" s="73"/>
    </row>
    <row r="17" spans="1:9">
      <c r="A17" s="4"/>
      <c r="B17" s="7" t="s">
        <v>18</v>
      </c>
      <c r="C17" s="12" t="s">
        <v>19</v>
      </c>
      <c r="D17" s="12" t="s">
        <v>30</v>
      </c>
      <c r="E17" s="19">
        <f>0.37*12*H17</f>
        <v>2818.3787999999995</v>
      </c>
      <c r="G17" s="17">
        <v>2.52</v>
      </c>
      <c r="H17" s="3">
        <v>634.77</v>
      </c>
      <c r="I17" s="73"/>
    </row>
    <row r="18" spans="1:9">
      <c r="A18" s="4"/>
      <c r="B18" s="8" t="s">
        <v>13</v>
      </c>
      <c r="C18" s="12" t="s">
        <v>19</v>
      </c>
      <c r="D18" s="12"/>
      <c r="E18" s="10">
        <f>E17+E16+E15+E14+E13+E12+E11+E10+E9</f>
        <v>201704.51520000002</v>
      </c>
      <c r="F18" s="15"/>
      <c r="G18" s="17" t="e">
        <f>G17+G16+G15+G14+G13+G12+G11+G10+G9+#REF!+#REF!</f>
        <v>#REF!</v>
      </c>
    </row>
    <row r="19" spans="1:9">
      <c r="A19" s="4"/>
      <c r="B19" s="5" t="s">
        <v>14</v>
      </c>
      <c r="C19" s="12" t="s">
        <v>19</v>
      </c>
      <c r="D19" s="12"/>
      <c r="E19" s="10">
        <f>E6-E18</f>
        <v>0</v>
      </c>
    </row>
    <row r="20" spans="1:9">
      <c r="A20" s="4"/>
      <c r="B20" s="91" t="s">
        <v>15</v>
      </c>
      <c r="C20" s="92"/>
      <c r="D20" s="92"/>
      <c r="E20" s="93"/>
    </row>
    <row r="21" spans="1:9">
      <c r="A21" s="4"/>
      <c r="B21" s="5" t="s">
        <v>16</v>
      </c>
      <c r="C21" s="12" t="s">
        <v>19</v>
      </c>
      <c r="D21" s="12"/>
      <c r="E21" s="10"/>
    </row>
    <row r="22" spans="1:9">
      <c r="A22" s="68"/>
      <c r="B22" s="22" t="s">
        <v>77</v>
      </c>
      <c r="C22" s="12" t="s">
        <v>19</v>
      </c>
      <c r="D22" s="12"/>
      <c r="E22" s="21">
        <v>13000</v>
      </c>
    </row>
    <row r="23" spans="1:9">
      <c r="B23" s="12" t="s">
        <v>25</v>
      </c>
      <c r="C23" s="12" t="s">
        <v>19</v>
      </c>
      <c r="D23" s="12"/>
      <c r="E23" s="11">
        <f>E22</f>
        <v>13000</v>
      </c>
    </row>
    <row r="24" spans="1:9">
      <c r="B24" s="5" t="s">
        <v>14</v>
      </c>
      <c r="C24" s="12" t="s">
        <v>19</v>
      </c>
      <c r="D24" s="12"/>
      <c r="E24" s="20">
        <f>E5-E18-E23</f>
        <v>-13000.000000000029</v>
      </c>
    </row>
  </sheetData>
  <mergeCells count="3">
    <mergeCell ref="A2:E2"/>
    <mergeCell ref="B8:E8"/>
    <mergeCell ref="B20:E20"/>
  </mergeCells>
  <phoneticPr fontId="6" type="noConversion"/>
  <pageMargins left="0.75" right="0.75" top="1" bottom="1" header="0.5" footer="0.5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24"/>
  <sheetViews>
    <sheetView workbookViewId="0">
      <selection activeCell="H1" sqref="H1:H65536"/>
    </sheetView>
  </sheetViews>
  <sheetFormatPr defaultColWidth="8.85546875" defaultRowHeight="12"/>
  <cols>
    <col min="1" max="1" width="2.85546875" style="3" customWidth="1"/>
    <col min="2" max="2" width="44.5703125" style="3" customWidth="1"/>
    <col min="3" max="3" width="10" style="13" customWidth="1"/>
    <col min="4" max="4" width="15.5703125" style="13" customWidth="1"/>
    <col min="5" max="5" width="14.7109375" style="13" customWidth="1"/>
    <col min="6" max="6" width="8.85546875" style="3"/>
    <col min="7" max="7" width="8.7109375" style="3" hidden="1" customWidth="1"/>
    <col min="8" max="8" width="13.140625" style="3" hidden="1" customWidth="1"/>
    <col min="9" max="16384" width="8.85546875" style="3"/>
  </cols>
  <sheetData>
    <row r="1" spans="1:9">
      <c r="A1" s="1"/>
      <c r="B1" s="1"/>
      <c r="C1" s="9"/>
      <c r="D1" s="9"/>
      <c r="E1" s="2"/>
    </row>
    <row r="2" spans="1:9" ht="17.25" customHeight="1">
      <c r="A2" s="90" t="s">
        <v>26</v>
      </c>
      <c r="B2" s="90"/>
      <c r="C2" s="90"/>
      <c r="D2" s="90"/>
      <c r="E2" s="90"/>
    </row>
    <row r="3" spans="1:9">
      <c r="A3" s="1"/>
      <c r="B3" s="1"/>
      <c r="C3" s="9"/>
      <c r="D3" s="9"/>
      <c r="E3" s="9"/>
    </row>
    <row r="4" spans="1:9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9">
      <c r="A5" s="4"/>
      <c r="B5" s="5" t="s">
        <v>27</v>
      </c>
      <c r="C5" s="12" t="s">
        <v>19</v>
      </c>
      <c r="D5" s="12"/>
      <c r="E5" s="10">
        <f>E6</f>
        <v>406624.76160000003</v>
      </c>
    </row>
    <row r="6" spans="1:9">
      <c r="A6" s="4"/>
      <c r="B6" s="6" t="s">
        <v>4</v>
      </c>
      <c r="C6" s="12" t="s">
        <v>19</v>
      </c>
      <c r="D6" s="12" t="s">
        <v>78</v>
      </c>
      <c r="E6" s="11">
        <f>26.48*12*H6</f>
        <v>406624.76160000003</v>
      </c>
      <c r="G6" s="17">
        <v>78.349999999999994</v>
      </c>
      <c r="H6" s="3">
        <v>1279.6600000000001</v>
      </c>
    </row>
    <row r="7" spans="1:9">
      <c r="A7" s="4"/>
      <c r="B7" s="4"/>
      <c r="C7" s="12"/>
      <c r="D7" s="12"/>
      <c r="E7" s="12"/>
      <c r="H7" s="3">
        <v>1279.6600000000001</v>
      </c>
    </row>
    <row r="8" spans="1:9">
      <c r="A8" s="4"/>
      <c r="B8" s="91" t="s">
        <v>6</v>
      </c>
      <c r="C8" s="92"/>
      <c r="D8" s="92"/>
      <c r="E8" s="93"/>
      <c r="H8" s="3">
        <v>1279.6600000000001</v>
      </c>
    </row>
    <row r="9" spans="1:9">
      <c r="A9" s="4"/>
      <c r="B9" s="7" t="s">
        <v>8</v>
      </c>
      <c r="C9" s="12" t="s">
        <v>19</v>
      </c>
      <c r="D9" s="12" t="s">
        <v>30</v>
      </c>
      <c r="E9" s="19">
        <f>2.31*12*H9</f>
        <v>35472.175199999998</v>
      </c>
      <c r="G9" s="17">
        <v>12.62</v>
      </c>
      <c r="H9" s="3">
        <v>1279.6600000000001</v>
      </c>
      <c r="I9" s="73"/>
    </row>
    <row r="10" spans="1:9">
      <c r="A10" s="4"/>
      <c r="B10" s="7" t="s">
        <v>7</v>
      </c>
      <c r="C10" s="12" t="s">
        <v>19</v>
      </c>
      <c r="D10" s="28"/>
      <c r="E10" s="19">
        <f>2.84*12*H10</f>
        <v>43610.8128</v>
      </c>
      <c r="G10" s="17"/>
      <c r="H10" s="3">
        <v>1279.6600000000001</v>
      </c>
      <c r="I10" s="73"/>
    </row>
    <row r="11" spans="1:9">
      <c r="A11" s="4"/>
      <c r="B11" s="7" t="s">
        <v>9</v>
      </c>
      <c r="C11" s="12" t="s">
        <v>19</v>
      </c>
      <c r="D11" s="12" t="s">
        <v>31</v>
      </c>
      <c r="E11" s="19">
        <f>4.15*12*H11</f>
        <v>63727.068000000007</v>
      </c>
      <c r="G11" s="17">
        <v>15.55</v>
      </c>
      <c r="H11" s="3">
        <v>1279.6600000000001</v>
      </c>
      <c r="I11" s="73"/>
    </row>
    <row r="12" spans="1:9">
      <c r="A12" s="4"/>
      <c r="B12" s="7" t="s">
        <v>10</v>
      </c>
      <c r="C12" s="12" t="s">
        <v>19</v>
      </c>
      <c r="D12" s="29" t="s">
        <v>32</v>
      </c>
      <c r="E12" s="19">
        <f>1.96*12*H12</f>
        <v>30097.603200000001</v>
      </c>
      <c r="G12" s="17">
        <v>11.46</v>
      </c>
      <c r="H12" s="3">
        <v>1279.6600000000001</v>
      </c>
      <c r="I12" s="73"/>
    </row>
    <row r="13" spans="1:9">
      <c r="A13" s="4"/>
      <c r="B13" s="7" t="s">
        <v>11</v>
      </c>
      <c r="C13" s="12" t="s">
        <v>19</v>
      </c>
      <c r="D13" s="28" t="s">
        <v>33</v>
      </c>
      <c r="E13" s="19">
        <f>2.93*12*H13</f>
        <v>44992.845600000008</v>
      </c>
      <c r="G13" s="17">
        <v>13.98</v>
      </c>
      <c r="H13" s="3">
        <v>1279.6600000000001</v>
      </c>
      <c r="I13" s="73"/>
    </row>
    <row r="14" spans="1:9">
      <c r="A14" s="4"/>
      <c r="B14" s="7" t="s">
        <v>12</v>
      </c>
      <c r="C14" s="12" t="s">
        <v>19</v>
      </c>
      <c r="D14" s="28" t="s">
        <v>33</v>
      </c>
      <c r="E14" s="19">
        <f>2.26*12*H14</f>
        <v>34704.379199999996</v>
      </c>
      <c r="G14" s="17">
        <v>8.1199999999999992</v>
      </c>
      <c r="H14" s="3">
        <v>1279.6600000000001</v>
      </c>
      <c r="I14" s="73"/>
    </row>
    <row r="15" spans="1:9" ht="48">
      <c r="A15" s="4"/>
      <c r="B15" s="30" t="s">
        <v>34</v>
      </c>
      <c r="C15" s="31" t="s">
        <v>19</v>
      </c>
      <c r="D15" s="31" t="s">
        <v>32</v>
      </c>
      <c r="E15" s="31">
        <f>9.47*12*H15</f>
        <v>145420.56240000002</v>
      </c>
      <c r="G15" s="17">
        <v>18.14</v>
      </c>
      <c r="H15" s="3">
        <v>1279.6600000000001</v>
      </c>
      <c r="I15" s="73"/>
    </row>
    <row r="16" spans="1:9">
      <c r="A16" s="4"/>
      <c r="B16" s="7" t="s">
        <v>17</v>
      </c>
      <c r="C16" s="12" t="s">
        <v>19</v>
      </c>
      <c r="D16" s="12" t="s">
        <v>33</v>
      </c>
      <c r="E16" s="19">
        <f>0.19*12*H16</f>
        <v>2917.6248000000005</v>
      </c>
      <c r="F16" s="15"/>
      <c r="G16" s="17">
        <v>0.41</v>
      </c>
      <c r="H16" s="3">
        <v>1279.6600000000001</v>
      </c>
      <c r="I16" s="73"/>
    </row>
    <row r="17" spans="1:9">
      <c r="A17" s="4"/>
      <c r="B17" s="7" t="s">
        <v>18</v>
      </c>
      <c r="C17" s="12" t="s">
        <v>19</v>
      </c>
      <c r="D17" s="12" t="s">
        <v>30</v>
      </c>
      <c r="E17" s="19">
        <f>0.37*12*H17</f>
        <v>5681.6903999999995</v>
      </c>
      <c r="G17" s="17">
        <v>2.52</v>
      </c>
      <c r="H17" s="3">
        <v>1279.6600000000001</v>
      </c>
      <c r="I17" s="73"/>
    </row>
    <row r="18" spans="1:9">
      <c r="A18" s="4"/>
      <c r="B18" s="8" t="s">
        <v>13</v>
      </c>
      <c r="C18" s="12" t="s">
        <v>19</v>
      </c>
      <c r="D18" s="12"/>
      <c r="E18" s="10">
        <f>E17+E16+E15+E14+E13+E12+E11+E10+E9</f>
        <v>406624.76160000009</v>
      </c>
      <c r="F18" s="15"/>
      <c r="G18" s="17" t="e">
        <f>G17+G16+G15+G14+G13+G12+G11+G10+G9+#REF!+#REF!</f>
        <v>#REF!</v>
      </c>
    </row>
    <row r="19" spans="1:9">
      <c r="A19" s="4"/>
      <c r="B19" s="5" t="s">
        <v>14</v>
      </c>
      <c r="C19" s="12" t="s">
        <v>19</v>
      </c>
      <c r="D19" s="12"/>
      <c r="E19" s="10">
        <f>E6-E18</f>
        <v>0</v>
      </c>
    </row>
    <row r="20" spans="1:9">
      <c r="A20" s="4"/>
      <c r="B20" s="91" t="s">
        <v>15</v>
      </c>
      <c r="C20" s="92"/>
      <c r="D20" s="92"/>
      <c r="E20" s="93"/>
    </row>
    <row r="21" spans="1:9">
      <c r="A21" s="4"/>
      <c r="B21" s="5" t="s">
        <v>16</v>
      </c>
      <c r="C21" s="12" t="s">
        <v>19</v>
      </c>
      <c r="D21" s="12"/>
      <c r="E21" s="10"/>
    </row>
    <row r="22" spans="1:9">
      <c r="A22" s="68"/>
      <c r="B22" s="22" t="s">
        <v>77</v>
      </c>
      <c r="C22" s="12" t="s">
        <v>19</v>
      </c>
      <c r="D22" s="12"/>
      <c r="E22" s="21">
        <v>13000</v>
      </c>
    </row>
    <row r="23" spans="1:9">
      <c r="B23" s="12" t="s">
        <v>25</v>
      </c>
      <c r="C23" s="12" t="s">
        <v>19</v>
      </c>
      <c r="D23" s="12"/>
      <c r="E23" s="11">
        <f>E22</f>
        <v>13000</v>
      </c>
    </row>
    <row r="24" spans="1:9">
      <c r="B24" s="5" t="s">
        <v>14</v>
      </c>
      <c r="C24" s="12" t="s">
        <v>19</v>
      </c>
      <c r="D24" s="12"/>
      <c r="E24" s="20">
        <f>E5-E18-E23</f>
        <v>-13000.000000000058</v>
      </c>
    </row>
  </sheetData>
  <mergeCells count="3">
    <mergeCell ref="A2:E2"/>
    <mergeCell ref="B8:E8"/>
    <mergeCell ref="B20:E20"/>
  </mergeCells>
  <phoneticPr fontId="6" type="noConversion"/>
  <pageMargins left="0.75" right="0.75" top="1" bottom="1" header="0.5" footer="0.5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24"/>
  <sheetViews>
    <sheetView workbookViewId="0">
      <selection activeCell="H1" sqref="H1:H65536"/>
    </sheetView>
  </sheetViews>
  <sheetFormatPr defaultColWidth="8.85546875" defaultRowHeight="12"/>
  <cols>
    <col min="1" max="1" width="2.85546875" style="3" customWidth="1"/>
    <col min="2" max="2" width="44.5703125" style="3" customWidth="1"/>
    <col min="3" max="3" width="10" style="13" customWidth="1"/>
    <col min="4" max="4" width="15.5703125" style="13" customWidth="1"/>
    <col min="5" max="5" width="14.7109375" style="13" customWidth="1"/>
    <col min="6" max="6" width="8.85546875" style="3"/>
    <col min="7" max="7" width="8.7109375" style="3" hidden="1" customWidth="1"/>
    <col min="8" max="8" width="14.42578125" style="3" hidden="1" customWidth="1"/>
    <col min="9" max="16384" width="8.85546875" style="3"/>
  </cols>
  <sheetData>
    <row r="1" spans="1:9">
      <c r="A1" s="1"/>
      <c r="B1" s="1"/>
      <c r="C1" s="9"/>
      <c r="D1" s="9"/>
      <c r="E1" s="2"/>
    </row>
    <row r="2" spans="1:9" ht="17.25" customHeight="1">
      <c r="A2" s="90" t="s">
        <v>26</v>
      </c>
      <c r="B2" s="90"/>
      <c r="C2" s="90"/>
      <c r="D2" s="90"/>
      <c r="E2" s="90"/>
    </row>
    <row r="3" spans="1:9">
      <c r="A3" s="1"/>
      <c r="B3" s="1"/>
      <c r="C3" s="9"/>
      <c r="D3" s="9"/>
      <c r="E3" s="9"/>
    </row>
    <row r="4" spans="1:9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9">
      <c r="A5" s="4"/>
      <c r="B5" s="5" t="s">
        <v>27</v>
      </c>
      <c r="C5" s="12" t="s">
        <v>19</v>
      </c>
      <c r="D5" s="12"/>
      <c r="E5" s="10">
        <f>E6</f>
        <v>395913.07199999999</v>
      </c>
    </row>
    <row r="6" spans="1:9">
      <c r="A6" s="4"/>
      <c r="B6" s="6" t="s">
        <v>4</v>
      </c>
      <c r="C6" s="12" t="s">
        <v>19</v>
      </c>
      <c r="D6" s="12" t="s">
        <v>78</v>
      </c>
      <c r="E6" s="11">
        <f>26.48*12*H6</f>
        <v>395913.07199999999</v>
      </c>
      <c r="G6" s="17">
        <v>78.349999999999994</v>
      </c>
      <c r="H6" s="3">
        <v>1245.95</v>
      </c>
    </row>
    <row r="7" spans="1:9">
      <c r="A7" s="4"/>
      <c r="B7" s="4"/>
      <c r="C7" s="12"/>
      <c r="D7" s="12"/>
      <c r="E7" s="12"/>
      <c r="H7" s="3">
        <v>1245.95</v>
      </c>
    </row>
    <row r="8" spans="1:9">
      <c r="A8" s="4"/>
      <c r="B8" s="91" t="s">
        <v>6</v>
      </c>
      <c r="C8" s="92"/>
      <c r="D8" s="92"/>
      <c r="E8" s="93"/>
      <c r="H8" s="3">
        <v>1245.95</v>
      </c>
    </row>
    <row r="9" spans="1:9">
      <c r="A9" s="4"/>
      <c r="B9" s="7" t="s">
        <v>8</v>
      </c>
      <c r="C9" s="12" t="s">
        <v>19</v>
      </c>
      <c r="D9" s="12" t="s">
        <v>30</v>
      </c>
      <c r="E9" s="19">
        <f>2.31*12*H9</f>
        <v>34537.733999999997</v>
      </c>
      <c r="G9" s="17">
        <v>12.62</v>
      </c>
      <c r="H9" s="3">
        <v>1245.95</v>
      </c>
      <c r="I9" s="73"/>
    </row>
    <row r="10" spans="1:9">
      <c r="A10" s="4"/>
      <c r="B10" s="7" t="s">
        <v>7</v>
      </c>
      <c r="C10" s="12" t="s">
        <v>19</v>
      </c>
      <c r="D10" s="28"/>
      <c r="E10" s="19">
        <f>2.84*12*H10</f>
        <v>42461.976000000002</v>
      </c>
      <c r="G10" s="17"/>
      <c r="H10" s="3">
        <v>1245.95</v>
      </c>
      <c r="I10" s="73"/>
    </row>
    <row r="11" spans="1:9">
      <c r="A11" s="4"/>
      <c r="B11" s="7" t="s">
        <v>9</v>
      </c>
      <c r="C11" s="12" t="s">
        <v>19</v>
      </c>
      <c r="D11" s="12" t="s">
        <v>31</v>
      </c>
      <c r="E11" s="19">
        <f>4.15*12*H11</f>
        <v>62048.310000000005</v>
      </c>
      <c r="G11" s="17">
        <v>15.55</v>
      </c>
      <c r="H11" s="3">
        <v>1245.95</v>
      </c>
      <c r="I11" s="73"/>
    </row>
    <row r="12" spans="1:9">
      <c r="A12" s="4"/>
      <c r="B12" s="7" t="s">
        <v>10</v>
      </c>
      <c r="C12" s="12" t="s">
        <v>19</v>
      </c>
      <c r="D12" s="29" t="s">
        <v>32</v>
      </c>
      <c r="E12" s="19">
        <f>1.96*12*H12</f>
        <v>29304.743999999999</v>
      </c>
      <c r="G12" s="17">
        <v>11.46</v>
      </c>
      <c r="H12" s="3">
        <v>1245.95</v>
      </c>
      <c r="I12" s="73"/>
    </row>
    <row r="13" spans="1:9">
      <c r="A13" s="4"/>
      <c r="B13" s="7" t="s">
        <v>11</v>
      </c>
      <c r="C13" s="12" t="s">
        <v>19</v>
      </c>
      <c r="D13" s="28" t="s">
        <v>33</v>
      </c>
      <c r="E13" s="19">
        <f>2.93*12*H13</f>
        <v>43807.602000000006</v>
      </c>
      <c r="G13" s="17">
        <v>13.98</v>
      </c>
      <c r="H13" s="3">
        <v>1245.95</v>
      </c>
      <c r="I13" s="73"/>
    </row>
    <row r="14" spans="1:9">
      <c r="A14" s="4"/>
      <c r="B14" s="7" t="s">
        <v>12</v>
      </c>
      <c r="C14" s="12" t="s">
        <v>19</v>
      </c>
      <c r="D14" s="28" t="s">
        <v>33</v>
      </c>
      <c r="E14" s="19">
        <f>2.26*12*H14</f>
        <v>33790.163999999997</v>
      </c>
      <c r="G14" s="17">
        <v>8.1199999999999992</v>
      </c>
      <c r="H14" s="3">
        <v>1245.95</v>
      </c>
      <c r="I14" s="73"/>
    </row>
    <row r="15" spans="1:9" ht="48">
      <c r="A15" s="4"/>
      <c r="B15" s="30" t="s">
        <v>34</v>
      </c>
      <c r="C15" s="31" t="s">
        <v>19</v>
      </c>
      <c r="D15" s="31" t="s">
        <v>32</v>
      </c>
      <c r="E15" s="31">
        <f>9.47*12*H15</f>
        <v>141589.75800000003</v>
      </c>
      <c r="G15" s="17">
        <v>18.14</v>
      </c>
      <c r="H15" s="3">
        <v>1245.95</v>
      </c>
      <c r="I15" s="73"/>
    </row>
    <row r="16" spans="1:9">
      <c r="A16" s="4"/>
      <c r="B16" s="7" t="s">
        <v>17</v>
      </c>
      <c r="C16" s="12" t="s">
        <v>19</v>
      </c>
      <c r="D16" s="12" t="s">
        <v>33</v>
      </c>
      <c r="E16" s="19">
        <f>0.19*12*H16</f>
        <v>2840.7660000000005</v>
      </c>
      <c r="F16" s="15"/>
      <c r="G16" s="17">
        <v>0.41</v>
      </c>
      <c r="H16" s="3">
        <v>1245.95</v>
      </c>
      <c r="I16" s="73"/>
    </row>
    <row r="17" spans="1:9">
      <c r="A17" s="4"/>
      <c r="B17" s="7" t="s">
        <v>18</v>
      </c>
      <c r="C17" s="12" t="s">
        <v>19</v>
      </c>
      <c r="D17" s="12" t="s">
        <v>30</v>
      </c>
      <c r="E17" s="19">
        <f>0.37*12*H17</f>
        <v>5532.018</v>
      </c>
      <c r="G17" s="17">
        <v>2.52</v>
      </c>
      <c r="H17" s="3">
        <v>1245.95</v>
      </c>
      <c r="I17" s="73"/>
    </row>
    <row r="18" spans="1:9">
      <c r="A18" s="4"/>
      <c r="B18" s="8" t="s">
        <v>13</v>
      </c>
      <c r="C18" s="12" t="s">
        <v>19</v>
      </c>
      <c r="D18" s="12"/>
      <c r="E18" s="10">
        <f>E17+E16+E15+E14+E13+E12+E11+E10+E9</f>
        <v>395913.07200000004</v>
      </c>
      <c r="F18" s="15"/>
      <c r="G18" s="17" t="e">
        <f>G17+G16+G15+G14+G13+G12+G11+G10+G9+#REF!+#REF!</f>
        <v>#REF!</v>
      </c>
    </row>
    <row r="19" spans="1:9">
      <c r="A19" s="4"/>
      <c r="B19" s="5" t="s">
        <v>14</v>
      </c>
      <c r="C19" s="12" t="s">
        <v>19</v>
      </c>
      <c r="D19" s="12"/>
      <c r="E19" s="10">
        <f>E6-E18</f>
        <v>0</v>
      </c>
    </row>
    <row r="20" spans="1:9">
      <c r="A20" s="4"/>
      <c r="B20" s="91" t="s">
        <v>15</v>
      </c>
      <c r="C20" s="92"/>
      <c r="D20" s="92"/>
      <c r="E20" s="93"/>
    </row>
    <row r="21" spans="1:9">
      <c r="A21" s="4"/>
      <c r="B21" s="5" t="s">
        <v>16</v>
      </c>
      <c r="C21" s="12" t="s">
        <v>19</v>
      </c>
      <c r="D21" s="12"/>
      <c r="E21" s="10"/>
    </row>
    <row r="22" spans="1:9">
      <c r="A22" s="68"/>
      <c r="B22" s="22" t="s">
        <v>77</v>
      </c>
      <c r="C22" s="12" t="s">
        <v>19</v>
      </c>
      <c r="D22" s="12"/>
      <c r="E22" s="21">
        <v>13000</v>
      </c>
    </row>
    <row r="23" spans="1:9">
      <c r="B23" s="12" t="s">
        <v>25</v>
      </c>
      <c r="C23" s="12" t="s">
        <v>19</v>
      </c>
      <c r="D23" s="12"/>
      <c r="E23" s="11">
        <f>E22</f>
        <v>13000</v>
      </c>
    </row>
    <row r="24" spans="1:9">
      <c r="B24" s="5" t="s">
        <v>14</v>
      </c>
      <c r="C24" s="12" t="s">
        <v>19</v>
      </c>
      <c r="D24" s="12"/>
      <c r="E24" s="20">
        <f>E5-E18-E23</f>
        <v>-13000.000000000058</v>
      </c>
    </row>
  </sheetData>
  <mergeCells count="3">
    <mergeCell ref="A2:E2"/>
    <mergeCell ref="B8:E8"/>
    <mergeCell ref="B20:E20"/>
  </mergeCells>
  <phoneticPr fontId="6" type="noConversion"/>
  <pageMargins left="0.75" right="0.75" top="1" bottom="1" header="0.5" footer="0.5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24"/>
  <sheetViews>
    <sheetView workbookViewId="0">
      <selection activeCell="J15" sqref="J15"/>
    </sheetView>
  </sheetViews>
  <sheetFormatPr defaultColWidth="8.85546875" defaultRowHeight="12"/>
  <cols>
    <col min="1" max="1" width="2.85546875" style="3" customWidth="1"/>
    <col min="2" max="2" width="44.5703125" style="3" customWidth="1"/>
    <col min="3" max="3" width="10" style="13" customWidth="1"/>
    <col min="4" max="4" width="15.5703125" style="13" customWidth="1"/>
    <col min="5" max="5" width="14.7109375" style="13" customWidth="1"/>
    <col min="6" max="6" width="8.85546875" style="3"/>
    <col min="7" max="7" width="8.7109375" style="3" hidden="1" customWidth="1"/>
    <col min="8" max="8" width="14.85546875" style="3" hidden="1" customWidth="1"/>
    <col min="9" max="16384" width="8.85546875" style="3"/>
  </cols>
  <sheetData>
    <row r="1" spans="1:9">
      <c r="A1" s="1"/>
      <c r="B1" s="1"/>
      <c r="C1" s="9"/>
      <c r="D1" s="9"/>
      <c r="E1" s="2"/>
    </row>
    <row r="2" spans="1:9" ht="17.25" customHeight="1">
      <c r="A2" s="90" t="s">
        <v>26</v>
      </c>
      <c r="B2" s="90"/>
      <c r="C2" s="90"/>
      <c r="D2" s="90"/>
      <c r="E2" s="90"/>
    </row>
    <row r="3" spans="1:9">
      <c r="A3" s="1"/>
      <c r="B3" s="1"/>
      <c r="C3" s="9"/>
      <c r="D3" s="9"/>
      <c r="E3" s="9"/>
    </row>
    <row r="4" spans="1:9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9">
      <c r="A5" s="4"/>
      <c r="B5" s="5" t="s">
        <v>27</v>
      </c>
      <c r="C5" s="12" t="s">
        <v>19</v>
      </c>
      <c r="D5" s="12"/>
      <c r="E5" s="10">
        <f>E6</f>
        <v>405296.52480000001</v>
      </c>
    </row>
    <row r="6" spans="1:9">
      <c r="A6" s="4"/>
      <c r="B6" s="6" t="s">
        <v>4</v>
      </c>
      <c r="C6" s="12" t="s">
        <v>19</v>
      </c>
      <c r="D6" s="12" t="s">
        <v>78</v>
      </c>
      <c r="E6" s="11">
        <f>26.48*12*H6</f>
        <v>405296.52480000001</v>
      </c>
      <c r="G6" s="17">
        <v>78.349999999999994</v>
      </c>
      <c r="H6" s="3">
        <v>1275.48</v>
      </c>
    </row>
    <row r="7" spans="1:9">
      <c r="A7" s="4"/>
      <c r="B7" s="4"/>
      <c r="C7" s="12"/>
      <c r="D7" s="12"/>
      <c r="E7" s="12"/>
      <c r="H7" s="3">
        <v>1275.48</v>
      </c>
    </row>
    <row r="8" spans="1:9">
      <c r="A8" s="4"/>
      <c r="B8" s="91" t="s">
        <v>6</v>
      </c>
      <c r="C8" s="92"/>
      <c r="D8" s="92"/>
      <c r="E8" s="93"/>
      <c r="H8" s="3">
        <v>1275.48</v>
      </c>
    </row>
    <row r="9" spans="1:9">
      <c r="A9" s="4"/>
      <c r="B9" s="7" t="s">
        <v>8</v>
      </c>
      <c r="C9" s="12" t="s">
        <v>19</v>
      </c>
      <c r="D9" s="12" t="s">
        <v>30</v>
      </c>
      <c r="E9" s="19">
        <f>2.31*12*H9</f>
        <v>35356.3056</v>
      </c>
      <c r="G9" s="17">
        <v>12.62</v>
      </c>
      <c r="H9" s="3">
        <v>1275.48</v>
      </c>
      <c r="I9" s="73"/>
    </row>
    <row r="10" spans="1:9">
      <c r="A10" s="4"/>
      <c r="B10" s="7" t="s">
        <v>7</v>
      </c>
      <c r="C10" s="12" t="s">
        <v>19</v>
      </c>
      <c r="D10" s="28"/>
      <c r="E10" s="19">
        <f>2.84*12*H10</f>
        <v>43468.358399999997</v>
      </c>
      <c r="G10" s="17"/>
      <c r="H10" s="3">
        <v>1275.48</v>
      </c>
      <c r="I10" s="73"/>
    </row>
    <row r="11" spans="1:9">
      <c r="A11" s="4"/>
      <c r="B11" s="7" t="s">
        <v>9</v>
      </c>
      <c r="C11" s="12" t="s">
        <v>19</v>
      </c>
      <c r="D11" s="12" t="s">
        <v>31</v>
      </c>
      <c r="E11" s="19">
        <f>4.15*12*H11</f>
        <v>63518.90400000001</v>
      </c>
      <c r="G11" s="17">
        <v>15.55</v>
      </c>
      <c r="H11" s="3">
        <v>1275.48</v>
      </c>
      <c r="I11" s="73"/>
    </row>
    <row r="12" spans="1:9">
      <c r="A12" s="4"/>
      <c r="B12" s="7" t="s">
        <v>10</v>
      </c>
      <c r="C12" s="12" t="s">
        <v>19</v>
      </c>
      <c r="D12" s="29" t="s">
        <v>32</v>
      </c>
      <c r="E12" s="19">
        <f>1.96*12*H12</f>
        <v>29999.2896</v>
      </c>
      <c r="G12" s="17">
        <v>11.46</v>
      </c>
      <c r="H12" s="3">
        <v>1275.48</v>
      </c>
      <c r="I12" s="73"/>
    </row>
    <row r="13" spans="1:9">
      <c r="A13" s="4"/>
      <c r="B13" s="7" t="s">
        <v>11</v>
      </c>
      <c r="C13" s="12" t="s">
        <v>19</v>
      </c>
      <c r="D13" s="28" t="s">
        <v>33</v>
      </c>
      <c r="E13" s="19">
        <f>2.93*12*H13</f>
        <v>44845.876800000005</v>
      </c>
      <c r="G13" s="17">
        <v>13.98</v>
      </c>
      <c r="H13" s="3">
        <v>1275.48</v>
      </c>
      <c r="I13" s="73"/>
    </row>
    <row r="14" spans="1:9">
      <c r="A14" s="4"/>
      <c r="B14" s="7" t="s">
        <v>12</v>
      </c>
      <c r="C14" s="12" t="s">
        <v>19</v>
      </c>
      <c r="D14" s="28" t="s">
        <v>33</v>
      </c>
      <c r="E14" s="19">
        <f>2.26*12*H14</f>
        <v>34591.017599999999</v>
      </c>
      <c r="G14" s="17">
        <v>8.1199999999999992</v>
      </c>
      <c r="H14" s="3">
        <v>1275.48</v>
      </c>
      <c r="I14" s="73"/>
    </row>
    <row r="15" spans="1:9" ht="48">
      <c r="A15" s="4"/>
      <c r="B15" s="30" t="s">
        <v>34</v>
      </c>
      <c r="C15" s="31" t="s">
        <v>19</v>
      </c>
      <c r="D15" s="31" t="s">
        <v>32</v>
      </c>
      <c r="E15" s="31">
        <f>9.47*12*H15</f>
        <v>144945.54720000003</v>
      </c>
      <c r="G15" s="17">
        <v>18.14</v>
      </c>
      <c r="H15" s="3">
        <v>1275.48</v>
      </c>
      <c r="I15" s="73"/>
    </row>
    <row r="16" spans="1:9">
      <c r="A16" s="4"/>
      <c r="B16" s="7" t="s">
        <v>17</v>
      </c>
      <c r="C16" s="12" t="s">
        <v>19</v>
      </c>
      <c r="D16" s="12" t="s">
        <v>33</v>
      </c>
      <c r="E16" s="19">
        <f>0.19*12*H16</f>
        <v>2908.0944000000004</v>
      </c>
      <c r="F16" s="15"/>
      <c r="G16" s="17">
        <v>0.41</v>
      </c>
      <c r="H16" s="3">
        <v>1275.48</v>
      </c>
      <c r="I16" s="73"/>
    </row>
    <row r="17" spans="1:9">
      <c r="A17" s="4"/>
      <c r="B17" s="7" t="s">
        <v>18</v>
      </c>
      <c r="C17" s="12" t="s">
        <v>19</v>
      </c>
      <c r="D17" s="12" t="s">
        <v>30</v>
      </c>
      <c r="E17" s="19">
        <f>0.37*12*H17</f>
        <v>5663.1311999999998</v>
      </c>
      <c r="G17" s="17">
        <v>2.52</v>
      </c>
      <c r="H17" s="3">
        <v>1275.48</v>
      </c>
      <c r="I17" s="73"/>
    </row>
    <row r="18" spans="1:9">
      <c r="A18" s="4"/>
      <c r="B18" s="8" t="s">
        <v>13</v>
      </c>
      <c r="C18" s="12" t="s">
        <v>19</v>
      </c>
      <c r="D18" s="12"/>
      <c r="E18" s="10">
        <f>E17+E16+E15+E14+E13+E12+E11+E10+E9</f>
        <v>405296.52480000007</v>
      </c>
      <c r="F18" s="15"/>
      <c r="G18" s="17" t="e">
        <f>G17+G16+G15+G14+G13+G12+G11+G10+G9+#REF!+#REF!</f>
        <v>#REF!</v>
      </c>
    </row>
    <row r="19" spans="1:9">
      <c r="A19" s="4"/>
      <c r="B19" s="5" t="s">
        <v>14</v>
      </c>
      <c r="C19" s="12" t="s">
        <v>19</v>
      </c>
      <c r="D19" s="12"/>
      <c r="E19" s="10">
        <f>E6-E18</f>
        <v>0</v>
      </c>
    </row>
    <row r="20" spans="1:9">
      <c r="A20" s="4"/>
      <c r="B20" s="91" t="s">
        <v>15</v>
      </c>
      <c r="C20" s="92"/>
      <c r="D20" s="92"/>
      <c r="E20" s="93"/>
    </row>
    <row r="21" spans="1:9">
      <c r="A21" s="4"/>
      <c r="B21" s="5" t="s">
        <v>16</v>
      </c>
      <c r="C21" s="12" t="s">
        <v>19</v>
      </c>
      <c r="D21" s="12"/>
      <c r="E21" s="10"/>
    </row>
    <row r="22" spans="1:9">
      <c r="A22" s="68"/>
      <c r="B22" s="22" t="s">
        <v>77</v>
      </c>
      <c r="C22" s="12" t="s">
        <v>19</v>
      </c>
      <c r="D22" s="12"/>
      <c r="E22" s="21">
        <v>13000</v>
      </c>
    </row>
    <row r="23" spans="1:9">
      <c r="B23" s="12" t="s">
        <v>25</v>
      </c>
      <c r="C23" s="12" t="s">
        <v>19</v>
      </c>
      <c r="D23" s="12"/>
      <c r="E23" s="11">
        <f>E22</f>
        <v>13000</v>
      </c>
    </row>
    <row r="24" spans="1:9">
      <c r="B24" s="5" t="s">
        <v>14</v>
      </c>
      <c r="C24" s="12" t="s">
        <v>19</v>
      </c>
      <c r="D24" s="12"/>
      <c r="E24" s="20">
        <f>E5-E18-E23</f>
        <v>-13000.000000000058</v>
      </c>
    </row>
  </sheetData>
  <mergeCells count="3">
    <mergeCell ref="A2:E2"/>
    <mergeCell ref="B8:E8"/>
    <mergeCell ref="B20:E20"/>
  </mergeCells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I26" sqref="I2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2.57031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29</v>
      </c>
      <c r="C5" s="12" t="s">
        <v>19</v>
      </c>
      <c r="D5" s="12"/>
      <c r="E5" s="10">
        <f>E6+E7</f>
        <v>209709.88800000004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830.6*12*16.39</f>
        <v>163362.40800000002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830.6*4.65*12</f>
        <v>46347.48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830.6*12*0.003</f>
        <v>29.901600000000002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830.6*12*2.54</f>
        <v>25316.688000000002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830.6*12*2.11</f>
        <v>21030.792000000001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830.6*12*2.6</f>
        <v>25914.720000000001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830.6*12*1.92</f>
        <v>19137.024000000001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830.6*12*2.34</f>
        <v>23323.248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830.6*12*1.34</f>
        <v>13356.048000000003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830.6*12*3.03</f>
        <v>30200.616000000002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830.6*12*0.07</f>
        <v>697.70400000000006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830.6*12*0.42</f>
        <v>4186.2240000000002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163192.9656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169.44240000002901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46347.48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24"/>
  <sheetViews>
    <sheetView workbookViewId="0">
      <selection activeCell="H1" sqref="H1:H65536"/>
    </sheetView>
  </sheetViews>
  <sheetFormatPr defaultColWidth="8.85546875" defaultRowHeight="12"/>
  <cols>
    <col min="1" max="1" width="2.85546875" style="3" customWidth="1"/>
    <col min="2" max="2" width="44.5703125" style="3" customWidth="1"/>
    <col min="3" max="3" width="10" style="13" customWidth="1"/>
    <col min="4" max="4" width="15.5703125" style="13" customWidth="1"/>
    <col min="5" max="5" width="14.7109375" style="13" customWidth="1"/>
    <col min="6" max="6" width="8.85546875" style="3"/>
    <col min="7" max="7" width="8.7109375" style="3" hidden="1" customWidth="1"/>
    <col min="8" max="8" width="11.7109375" style="3" hidden="1" customWidth="1"/>
    <col min="9" max="16384" width="8.85546875" style="3"/>
  </cols>
  <sheetData>
    <row r="1" spans="1:9">
      <c r="A1" s="1"/>
      <c r="B1" s="1"/>
      <c r="C1" s="9"/>
      <c r="D1" s="9"/>
      <c r="E1" s="2"/>
    </row>
    <row r="2" spans="1:9" ht="17.25" customHeight="1">
      <c r="A2" s="90" t="s">
        <v>26</v>
      </c>
      <c r="B2" s="90"/>
      <c r="C2" s="90"/>
      <c r="D2" s="90"/>
      <c r="E2" s="90"/>
    </row>
    <row r="3" spans="1:9">
      <c r="A3" s="1"/>
      <c r="B3" s="1"/>
      <c r="C3" s="9"/>
      <c r="D3" s="9"/>
      <c r="E3" s="9"/>
    </row>
    <row r="4" spans="1:9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9">
      <c r="A5" s="4"/>
      <c r="B5" s="5" t="s">
        <v>27</v>
      </c>
      <c r="C5" s="12" t="s">
        <v>19</v>
      </c>
      <c r="D5" s="12"/>
      <c r="E5" s="10">
        <f>E6</f>
        <v>406402.3296</v>
      </c>
    </row>
    <row r="6" spans="1:9">
      <c r="A6" s="4"/>
      <c r="B6" s="6" t="s">
        <v>4</v>
      </c>
      <c r="C6" s="12" t="s">
        <v>19</v>
      </c>
      <c r="D6" s="12" t="s">
        <v>78</v>
      </c>
      <c r="E6" s="11">
        <f>26.48*12*H6</f>
        <v>406402.3296</v>
      </c>
      <c r="G6" s="17">
        <v>78.349999999999994</v>
      </c>
      <c r="H6" s="3">
        <v>1278.96</v>
      </c>
    </row>
    <row r="7" spans="1:9">
      <c r="A7" s="4"/>
      <c r="B7" s="4"/>
      <c r="C7" s="12"/>
      <c r="D7" s="12"/>
      <c r="E7" s="12"/>
      <c r="H7" s="3">
        <v>1278.96</v>
      </c>
    </row>
    <row r="8" spans="1:9">
      <c r="A8" s="4"/>
      <c r="B8" s="91" t="s">
        <v>6</v>
      </c>
      <c r="C8" s="92"/>
      <c r="D8" s="92"/>
      <c r="E8" s="93"/>
      <c r="H8" s="3">
        <v>1278.96</v>
      </c>
    </row>
    <row r="9" spans="1:9">
      <c r="A9" s="4"/>
      <c r="B9" s="7" t="s">
        <v>8</v>
      </c>
      <c r="C9" s="12" t="s">
        <v>19</v>
      </c>
      <c r="D9" s="12" t="s">
        <v>30</v>
      </c>
      <c r="E9" s="19">
        <f>2.31*12*H9</f>
        <v>35452.771200000003</v>
      </c>
      <c r="G9" s="17">
        <v>12.62</v>
      </c>
      <c r="H9" s="3">
        <v>1278.96</v>
      </c>
      <c r="I9" s="73"/>
    </row>
    <row r="10" spans="1:9">
      <c r="A10" s="4"/>
      <c r="B10" s="7" t="s">
        <v>7</v>
      </c>
      <c r="C10" s="12" t="s">
        <v>19</v>
      </c>
      <c r="D10" s="28"/>
      <c r="E10" s="19">
        <f>2.84*12*H10</f>
        <v>43586.9568</v>
      </c>
      <c r="G10" s="17"/>
      <c r="H10" s="3">
        <v>1278.96</v>
      </c>
      <c r="I10" s="73"/>
    </row>
    <row r="11" spans="1:9">
      <c r="A11" s="4"/>
      <c r="B11" s="7" t="s">
        <v>9</v>
      </c>
      <c r="C11" s="12" t="s">
        <v>19</v>
      </c>
      <c r="D11" s="12" t="s">
        <v>31</v>
      </c>
      <c r="E11" s="19">
        <f>4.15*12*H11</f>
        <v>63692.208000000006</v>
      </c>
      <c r="G11" s="17">
        <v>15.55</v>
      </c>
      <c r="H11" s="3">
        <v>1278.96</v>
      </c>
      <c r="I11" s="73"/>
    </row>
    <row r="12" spans="1:9">
      <c r="A12" s="4"/>
      <c r="B12" s="7" t="s">
        <v>10</v>
      </c>
      <c r="C12" s="12" t="s">
        <v>19</v>
      </c>
      <c r="D12" s="29" t="s">
        <v>32</v>
      </c>
      <c r="E12" s="19">
        <f>1.96*12*H12</f>
        <v>30081.139200000001</v>
      </c>
      <c r="G12" s="17">
        <v>11.46</v>
      </c>
      <c r="H12" s="3">
        <v>1278.96</v>
      </c>
      <c r="I12" s="73"/>
    </row>
    <row r="13" spans="1:9">
      <c r="A13" s="4"/>
      <c r="B13" s="7" t="s">
        <v>11</v>
      </c>
      <c r="C13" s="12" t="s">
        <v>19</v>
      </c>
      <c r="D13" s="28" t="s">
        <v>33</v>
      </c>
      <c r="E13" s="19">
        <f>2.93*12*H13</f>
        <v>44968.233600000007</v>
      </c>
      <c r="G13" s="17">
        <v>13.98</v>
      </c>
      <c r="H13" s="3">
        <v>1278.96</v>
      </c>
      <c r="I13" s="73"/>
    </row>
    <row r="14" spans="1:9">
      <c r="A14" s="4"/>
      <c r="B14" s="7" t="s">
        <v>12</v>
      </c>
      <c r="C14" s="12" t="s">
        <v>19</v>
      </c>
      <c r="D14" s="28" t="s">
        <v>33</v>
      </c>
      <c r="E14" s="19">
        <f>2.26*12*H14</f>
        <v>34685.395199999999</v>
      </c>
      <c r="G14" s="17">
        <v>8.1199999999999992</v>
      </c>
      <c r="H14" s="3">
        <v>1278.96</v>
      </c>
      <c r="I14" s="73"/>
    </row>
    <row r="15" spans="1:9" ht="48">
      <c r="A15" s="4"/>
      <c r="B15" s="30" t="s">
        <v>34</v>
      </c>
      <c r="C15" s="31" t="s">
        <v>19</v>
      </c>
      <c r="D15" s="31" t="s">
        <v>32</v>
      </c>
      <c r="E15" s="31">
        <f>9.47*12*H15</f>
        <v>145341.01440000001</v>
      </c>
      <c r="G15" s="17">
        <v>18.14</v>
      </c>
      <c r="H15" s="3">
        <v>1278.96</v>
      </c>
      <c r="I15" s="73"/>
    </row>
    <row r="16" spans="1:9">
      <c r="A16" s="4"/>
      <c r="B16" s="7" t="s">
        <v>17</v>
      </c>
      <c r="C16" s="12" t="s">
        <v>19</v>
      </c>
      <c r="D16" s="12" t="s">
        <v>33</v>
      </c>
      <c r="E16" s="19">
        <f>0.19*12*H16</f>
        <v>2916.0288000000005</v>
      </c>
      <c r="F16" s="15"/>
      <c r="G16" s="17">
        <v>0.41</v>
      </c>
      <c r="H16" s="3">
        <v>1278.96</v>
      </c>
      <c r="I16" s="73"/>
    </row>
    <row r="17" spans="1:9">
      <c r="A17" s="4"/>
      <c r="B17" s="7" t="s">
        <v>18</v>
      </c>
      <c r="C17" s="12" t="s">
        <v>19</v>
      </c>
      <c r="D17" s="12" t="s">
        <v>30</v>
      </c>
      <c r="E17" s="19">
        <f>0.37*12*H17</f>
        <v>5678.5823999999993</v>
      </c>
      <c r="G17" s="17">
        <v>2.52</v>
      </c>
      <c r="H17" s="3">
        <v>1278.96</v>
      </c>
      <c r="I17" s="73"/>
    </row>
    <row r="18" spans="1:9">
      <c r="A18" s="4"/>
      <c r="B18" s="8" t="s">
        <v>13</v>
      </c>
      <c r="C18" s="12" t="s">
        <v>19</v>
      </c>
      <c r="D18" s="12"/>
      <c r="E18" s="10">
        <f>E17+E16+E15+E14+E13+E12+E11+E10+E9</f>
        <v>406402.3296</v>
      </c>
      <c r="F18" s="15"/>
      <c r="G18" s="17" t="e">
        <f>G17+G16+G15+G14+G13+G12+G11+G10+G9+#REF!+#REF!</f>
        <v>#REF!</v>
      </c>
    </row>
    <row r="19" spans="1:9">
      <c r="A19" s="4"/>
      <c r="B19" s="5" t="s">
        <v>14</v>
      </c>
      <c r="C19" s="12" t="s">
        <v>19</v>
      </c>
      <c r="D19" s="12"/>
      <c r="E19" s="10">
        <f>E6-E18</f>
        <v>0</v>
      </c>
    </row>
    <row r="20" spans="1:9">
      <c r="A20" s="4"/>
      <c r="B20" s="91" t="s">
        <v>15</v>
      </c>
      <c r="C20" s="92"/>
      <c r="D20" s="92"/>
      <c r="E20" s="93"/>
    </row>
    <row r="21" spans="1:9">
      <c r="A21" s="4"/>
      <c r="B21" s="5" t="s">
        <v>16</v>
      </c>
      <c r="C21" s="12" t="s">
        <v>19</v>
      </c>
      <c r="D21" s="12"/>
      <c r="E21" s="10"/>
    </row>
    <row r="22" spans="1:9">
      <c r="A22" s="68"/>
      <c r="B22" s="22" t="s">
        <v>77</v>
      </c>
      <c r="C22" s="12" t="s">
        <v>19</v>
      </c>
      <c r="D22" s="12"/>
      <c r="E22" s="21">
        <v>13000</v>
      </c>
    </row>
    <row r="23" spans="1:9">
      <c r="B23" s="12" t="s">
        <v>25</v>
      </c>
      <c r="C23" s="12" t="s">
        <v>19</v>
      </c>
      <c r="D23" s="12"/>
      <c r="E23" s="11">
        <f>E22</f>
        <v>13000</v>
      </c>
    </row>
    <row r="24" spans="1:9">
      <c r="B24" s="5" t="s">
        <v>14</v>
      </c>
      <c r="C24" s="12" t="s">
        <v>19</v>
      </c>
      <c r="D24" s="12"/>
      <c r="E24" s="20">
        <f>E5-E18-E23</f>
        <v>-13000</v>
      </c>
    </row>
  </sheetData>
  <mergeCells count="3">
    <mergeCell ref="A2:E2"/>
    <mergeCell ref="B8:E8"/>
    <mergeCell ref="B20:E20"/>
  </mergeCells>
  <phoneticPr fontId="6" type="noConversion"/>
  <pageMargins left="0.75" right="0.75" top="1" bottom="1" header="0.5" footer="0.5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24"/>
  <sheetViews>
    <sheetView workbookViewId="0">
      <selection activeCell="A2" sqref="A2:E2"/>
    </sheetView>
  </sheetViews>
  <sheetFormatPr defaultColWidth="8.85546875" defaultRowHeight="12"/>
  <cols>
    <col min="1" max="1" width="2.85546875" style="3" customWidth="1"/>
    <col min="2" max="2" width="44.5703125" style="3" customWidth="1"/>
    <col min="3" max="3" width="10" style="13" customWidth="1"/>
    <col min="4" max="4" width="15.5703125" style="13" customWidth="1"/>
    <col min="5" max="5" width="14.7109375" style="13" customWidth="1"/>
    <col min="6" max="6" width="8.85546875" style="3"/>
    <col min="7" max="7" width="8.7109375" style="3" hidden="1" customWidth="1"/>
    <col min="8" max="8" width="12.42578125" style="3" hidden="1" customWidth="1"/>
    <col min="9" max="16384" width="8.85546875" style="3"/>
  </cols>
  <sheetData>
    <row r="1" spans="1:9">
      <c r="A1" s="1"/>
      <c r="B1" s="1"/>
      <c r="C1" s="9"/>
      <c r="D1" s="9"/>
      <c r="E1" s="2"/>
    </row>
    <row r="2" spans="1:9" ht="17.25" customHeight="1">
      <c r="A2" s="90" t="s">
        <v>26</v>
      </c>
      <c r="B2" s="90"/>
      <c r="C2" s="90"/>
      <c r="D2" s="90"/>
      <c r="E2" s="90"/>
    </row>
    <row r="3" spans="1:9">
      <c r="A3" s="1"/>
      <c r="B3" s="1"/>
      <c r="C3" s="9"/>
      <c r="D3" s="9"/>
      <c r="E3" s="9"/>
    </row>
    <row r="4" spans="1:9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9">
      <c r="A5" s="4"/>
      <c r="B5" s="5" t="s">
        <v>27</v>
      </c>
      <c r="C5" s="12" t="s">
        <v>19</v>
      </c>
      <c r="D5" s="12"/>
      <c r="E5" s="10">
        <f>E6</f>
        <v>399316.28159999999</v>
      </c>
    </row>
    <row r="6" spans="1:9">
      <c r="A6" s="4"/>
      <c r="B6" s="6" t="s">
        <v>4</v>
      </c>
      <c r="C6" s="12" t="s">
        <v>19</v>
      </c>
      <c r="D6" s="12" t="s">
        <v>78</v>
      </c>
      <c r="E6" s="11">
        <f>26.48*12*H6</f>
        <v>399316.28159999999</v>
      </c>
      <c r="G6" s="17">
        <v>78.349999999999994</v>
      </c>
      <c r="H6" s="3">
        <v>1256.6600000000001</v>
      </c>
    </row>
    <row r="7" spans="1:9">
      <c r="A7" s="4"/>
      <c r="B7" s="4"/>
      <c r="C7" s="12"/>
      <c r="D7" s="12"/>
      <c r="E7" s="12"/>
      <c r="H7" s="3">
        <v>1256.6600000000001</v>
      </c>
    </row>
    <row r="8" spans="1:9">
      <c r="A8" s="4"/>
      <c r="B8" s="91" t="s">
        <v>6</v>
      </c>
      <c r="C8" s="92"/>
      <c r="D8" s="92"/>
      <c r="E8" s="93"/>
      <c r="H8" s="3">
        <v>1256.6600000000001</v>
      </c>
    </row>
    <row r="9" spans="1:9">
      <c r="A9" s="4"/>
      <c r="B9" s="7" t="s">
        <v>8</v>
      </c>
      <c r="C9" s="12" t="s">
        <v>19</v>
      </c>
      <c r="D9" s="12" t="s">
        <v>30</v>
      </c>
      <c r="E9" s="19">
        <f>2.31*12*H9</f>
        <v>34834.6152</v>
      </c>
      <c r="G9" s="17">
        <v>12.62</v>
      </c>
      <c r="H9" s="3">
        <v>1256.6600000000001</v>
      </c>
      <c r="I9" s="73"/>
    </row>
    <row r="10" spans="1:9">
      <c r="A10" s="4"/>
      <c r="B10" s="7" t="s">
        <v>7</v>
      </c>
      <c r="C10" s="12" t="s">
        <v>19</v>
      </c>
      <c r="D10" s="28"/>
      <c r="E10" s="19">
        <f>2.84*12*H10</f>
        <v>42826.972800000003</v>
      </c>
      <c r="G10" s="17"/>
      <c r="H10" s="3">
        <v>1256.6600000000001</v>
      </c>
      <c r="I10" s="73"/>
    </row>
    <row r="11" spans="1:9">
      <c r="A11" s="4"/>
      <c r="B11" s="7" t="s">
        <v>9</v>
      </c>
      <c r="C11" s="12" t="s">
        <v>19</v>
      </c>
      <c r="D11" s="12" t="s">
        <v>31</v>
      </c>
      <c r="E11" s="19">
        <f>4.15*12*H11</f>
        <v>62581.668000000012</v>
      </c>
      <c r="G11" s="17">
        <v>15.55</v>
      </c>
      <c r="H11" s="3">
        <v>1256.6600000000001</v>
      </c>
      <c r="I11" s="73"/>
    </row>
    <row r="12" spans="1:9">
      <c r="A12" s="4"/>
      <c r="B12" s="7" t="s">
        <v>10</v>
      </c>
      <c r="C12" s="12" t="s">
        <v>19</v>
      </c>
      <c r="D12" s="29" t="s">
        <v>32</v>
      </c>
      <c r="E12" s="19">
        <f>1.96*12*H12</f>
        <v>29556.643200000002</v>
      </c>
      <c r="G12" s="17">
        <v>11.46</v>
      </c>
      <c r="H12" s="3">
        <v>1256.6600000000001</v>
      </c>
      <c r="I12" s="73"/>
    </row>
    <row r="13" spans="1:9">
      <c r="A13" s="4"/>
      <c r="B13" s="7" t="s">
        <v>11</v>
      </c>
      <c r="C13" s="12" t="s">
        <v>19</v>
      </c>
      <c r="D13" s="28" t="s">
        <v>33</v>
      </c>
      <c r="E13" s="19">
        <f>2.93*12*H13</f>
        <v>44184.165600000008</v>
      </c>
      <c r="G13" s="17">
        <v>13.98</v>
      </c>
      <c r="H13" s="3">
        <v>1256.6600000000001</v>
      </c>
      <c r="I13" s="73"/>
    </row>
    <row r="14" spans="1:9">
      <c r="A14" s="4"/>
      <c r="B14" s="7" t="s">
        <v>12</v>
      </c>
      <c r="C14" s="12" t="s">
        <v>19</v>
      </c>
      <c r="D14" s="28" t="s">
        <v>33</v>
      </c>
      <c r="E14" s="19">
        <f>2.26*12*H14</f>
        <v>34080.619200000001</v>
      </c>
      <c r="G14" s="17">
        <v>8.1199999999999992</v>
      </c>
      <c r="H14" s="3">
        <v>1256.6600000000001</v>
      </c>
      <c r="I14" s="73"/>
    </row>
    <row r="15" spans="1:9" ht="48">
      <c r="A15" s="4"/>
      <c r="B15" s="30" t="s">
        <v>34</v>
      </c>
      <c r="C15" s="31" t="s">
        <v>19</v>
      </c>
      <c r="D15" s="31" t="s">
        <v>32</v>
      </c>
      <c r="E15" s="31">
        <f>9.47*12*H15</f>
        <v>142806.84240000002</v>
      </c>
      <c r="G15" s="17">
        <v>18.14</v>
      </c>
      <c r="H15" s="3">
        <v>1256.6600000000001</v>
      </c>
      <c r="I15" s="73"/>
    </row>
    <row r="16" spans="1:9">
      <c r="A16" s="4"/>
      <c r="B16" s="7" t="s">
        <v>17</v>
      </c>
      <c r="C16" s="12" t="s">
        <v>19</v>
      </c>
      <c r="D16" s="12" t="s">
        <v>33</v>
      </c>
      <c r="E16" s="19">
        <f>0.19*12*H16</f>
        <v>2865.1848000000005</v>
      </c>
      <c r="F16" s="15"/>
      <c r="G16" s="17">
        <v>0.41</v>
      </c>
      <c r="H16" s="3">
        <v>1256.6600000000001</v>
      </c>
      <c r="I16" s="73"/>
    </row>
    <row r="17" spans="1:9">
      <c r="A17" s="4"/>
      <c r="B17" s="7" t="s">
        <v>18</v>
      </c>
      <c r="C17" s="12" t="s">
        <v>19</v>
      </c>
      <c r="D17" s="12" t="s">
        <v>30</v>
      </c>
      <c r="E17" s="19">
        <f>0.37*12*H17</f>
        <v>5579.5703999999996</v>
      </c>
      <c r="G17" s="17">
        <v>2.52</v>
      </c>
      <c r="H17" s="3">
        <v>1256.6600000000001</v>
      </c>
      <c r="I17" s="73"/>
    </row>
    <row r="18" spans="1:9">
      <c r="A18" s="4"/>
      <c r="B18" s="8" t="s">
        <v>13</v>
      </c>
      <c r="C18" s="12" t="s">
        <v>19</v>
      </c>
      <c r="D18" s="12"/>
      <c r="E18" s="10">
        <f>E17+E16+E15+E14+E13+E12+E11+E10+E9</f>
        <v>399316.28160000005</v>
      </c>
      <c r="F18" s="15"/>
      <c r="G18" s="17" t="e">
        <f>G17+G16+G15+G14+G13+G12+G11+G10+G9+#REF!+#REF!</f>
        <v>#REF!</v>
      </c>
    </row>
    <row r="19" spans="1:9">
      <c r="A19" s="4"/>
      <c r="B19" s="5" t="s">
        <v>14</v>
      </c>
      <c r="C19" s="12" t="s">
        <v>19</v>
      </c>
      <c r="D19" s="12"/>
      <c r="E19" s="10">
        <f>E6-E18</f>
        <v>0</v>
      </c>
    </row>
    <row r="20" spans="1:9">
      <c r="A20" s="4"/>
      <c r="B20" s="91" t="s">
        <v>15</v>
      </c>
      <c r="C20" s="92"/>
      <c r="D20" s="92"/>
      <c r="E20" s="93"/>
    </row>
    <row r="21" spans="1:9">
      <c r="A21" s="4"/>
      <c r="B21" s="5" t="s">
        <v>16</v>
      </c>
      <c r="C21" s="12" t="s">
        <v>19</v>
      </c>
      <c r="D21" s="12"/>
      <c r="E21" s="10"/>
    </row>
    <row r="22" spans="1:9">
      <c r="A22" s="68"/>
      <c r="B22" s="22" t="s">
        <v>77</v>
      </c>
      <c r="C22" s="12" t="s">
        <v>19</v>
      </c>
      <c r="D22" s="12"/>
      <c r="E22" s="21">
        <v>13000</v>
      </c>
    </row>
    <row r="23" spans="1:9">
      <c r="B23" s="12" t="s">
        <v>25</v>
      </c>
      <c r="C23" s="12" t="s">
        <v>19</v>
      </c>
      <c r="D23" s="12"/>
      <c r="E23" s="11">
        <f>E22</f>
        <v>13000</v>
      </c>
    </row>
    <row r="24" spans="1:9">
      <c r="B24" s="5" t="s">
        <v>14</v>
      </c>
      <c r="C24" s="12" t="s">
        <v>19</v>
      </c>
      <c r="D24" s="12"/>
      <c r="E24" s="20">
        <f>E5-E18-E23</f>
        <v>-13000.000000000058</v>
      </c>
    </row>
  </sheetData>
  <mergeCells count="3">
    <mergeCell ref="A2:E2"/>
    <mergeCell ref="B8:E8"/>
    <mergeCell ref="B20:E20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30"/>
  <sheetViews>
    <sheetView workbookViewId="0">
      <selection activeCell="I16" sqref="I16"/>
    </sheetView>
  </sheetViews>
  <sheetFormatPr defaultRowHeight="15"/>
  <cols>
    <col min="1" max="1" width="77" customWidth="1"/>
    <col min="2" max="2" width="15.7109375" customWidth="1"/>
    <col min="3" max="3" width="15.28515625" customWidth="1"/>
    <col min="5" max="5" width="0" hidden="1" customWidth="1"/>
    <col min="257" max="257" width="77" customWidth="1"/>
    <col min="258" max="258" width="35.28515625" customWidth="1"/>
    <col min="513" max="513" width="77" customWidth="1"/>
    <col min="514" max="514" width="35.28515625" customWidth="1"/>
    <col min="769" max="769" width="77" customWidth="1"/>
    <col min="770" max="770" width="35.28515625" customWidth="1"/>
    <col min="1025" max="1025" width="77" customWidth="1"/>
    <col min="1026" max="1026" width="35.28515625" customWidth="1"/>
    <col min="1281" max="1281" width="77" customWidth="1"/>
    <col min="1282" max="1282" width="35.28515625" customWidth="1"/>
    <col min="1537" max="1537" width="77" customWidth="1"/>
    <col min="1538" max="1538" width="35.28515625" customWidth="1"/>
    <col min="1793" max="1793" width="77" customWidth="1"/>
    <col min="1794" max="1794" width="35.28515625" customWidth="1"/>
    <col min="2049" max="2049" width="77" customWidth="1"/>
    <col min="2050" max="2050" width="35.28515625" customWidth="1"/>
    <col min="2305" max="2305" width="77" customWidth="1"/>
    <col min="2306" max="2306" width="35.28515625" customWidth="1"/>
    <col min="2561" max="2561" width="77" customWidth="1"/>
    <col min="2562" max="2562" width="35.28515625" customWidth="1"/>
    <col min="2817" max="2817" width="77" customWidth="1"/>
    <col min="2818" max="2818" width="35.28515625" customWidth="1"/>
    <col min="3073" max="3073" width="77" customWidth="1"/>
    <col min="3074" max="3074" width="35.28515625" customWidth="1"/>
    <col min="3329" max="3329" width="77" customWidth="1"/>
    <col min="3330" max="3330" width="35.28515625" customWidth="1"/>
    <col min="3585" max="3585" width="77" customWidth="1"/>
    <col min="3586" max="3586" width="35.28515625" customWidth="1"/>
    <col min="3841" max="3841" width="77" customWidth="1"/>
    <col min="3842" max="3842" width="35.28515625" customWidth="1"/>
    <col min="4097" max="4097" width="77" customWidth="1"/>
    <col min="4098" max="4098" width="35.28515625" customWidth="1"/>
    <col min="4353" max="4353" width="77" customWidth="1"/>
    <col min="4354" max="4354" width="35.28515625" customWidth="1"/>
    <col min="4609" max="4609" width="77" customWidth="1"/>
    <col min="4610" max="4610" width="35.28515625" customWidth="1"/>
    <col min="4865" max="4865" width="77" customWidth="1"/>
    <col min="4866" max="4866" width="35.28515625" customWidth="1"/>
    <col min="5121" max="5121" width="77" customWidth="1"/>
    <col min="5122" max="5122" width="35.28515625" customWidth="1"/>
    <col min="5377" max="5377" width="77" customWidth="1"/>
    <col min="5378" max="5378" width="35.28515625" customWidth="1"/>
    <col min="5633" max="5633" width="77" customWidth="1"/>
    <col min="5634" max="5634" width="35.28515625" customWidth="1"/>
    <col min="5889" max="5889" width="77" customWidth="1"/>
    <col min="5890" max="5890" width="35.28515625" customWidth="1"/>
    <col min="6145" max="6145" width="77" customWidth="1"/>
    <col min="6146" max="6146" width="35.28515625" customWidth="1"/>
    <col min="6401" max="6401" width="77" customWidth="1"/>
    <col min="6402" max="6402" width="35.28515625" customWidth="1"/>
    <col min="6657" max="6657" width="77" customWidth="1"/>
    <col min="6658" max="6658" width="35.28515625" customWidth="1"/>
    <col min="6913" max="6913" width="77" customWidth="1"/>
    <col min="6914" max="6914" width="35.28515625" customWidth="1"/>
    <col min="7169" max="7169" width="77" customWidth="1"/>
    <col min="7170" max="7170" width="35.28515625" customWidth="1"/>
    <col min="7425" max="7425" width="77" customWidth="1"/>
    <col min="7426" max="7426" width="35.28515625" customWidth="1"/>
    <col min="7681" max="7681" width="77" customWidth="1"/>
    <col min="7682" max="7682" width="35.28515625" customWidth="1"/>
    <col min="7937" max="7937" width="77" customWidth="1"/>
    <col min="7938" max="7938" width="35.28515625" customWidth="1"/>
    <col min="8193" max="8193" width="77" customWidth="1"/>
    <col min="8194" max="8194" width="35.28515625" customWidth="1"/>
    <col min="8449" max="8449" width="77" customWidth="1"/>
    <col min="8450" max="8450" width="35.28515625" customWidth="1"/>
    <col min="8705" max="8705" width="77" customWidth="1"/>
    <col min="8706" max="8706" width="35.28515625" customWidth="1"/>
    <col min="8961" max="8961" width="77" customWidth="1"/>
    <col min="8962" max="8962" width="35.28515625" customWidth="1"/>
    <col min="9217" max="9217" width="77" customWidth="1"/>
    <col min="9218" max="9218" width="35.28515625" customWidth="1"/>
    <col min="9473" max="9473" width="77" customWidth="1"/>
    <col min="9474" max="9474" width="35.28515625" customWidth="1"/>
    <col min="9729" max="9729" width="77" customWidth="1"/>
    <col min="9730" max="9730" width="35.28515625" customWidth="1"/>
    <col min="9985" max="9985" width="77" customWidth="1"/>
    <col min="9986" max="9986" width="35.28515625" customWidth="1"/>
    <col min="10241" max="10241" width="77" customWidth="1"/>
    <col min="10242" max="10242" width="35.28515625" customWidth="1"/>
    <col min="10497" max="10497" width="77" customWidth="1"/>
    <col min="10498" max="10498" width="35.28515625" customWidth="1"/>
    <col min="10753" max="10753" width="77" customWidth="1"/>
    <col min="10754" max="10754" width="35.28515625" customWidth="1"/>
    <col min="11009" max="11009" width="77" customWidth="1"/>
    <col min="11010" max="11010" width="35.28515625" customWidth="1"/>
    <col min="11265" max="11265" width="77" customWidth="1"/>
    <col min="11266" max="11266" width="35.28515625" customWidth="1"/>
    <col min="11521" max="11521" width="77" customWidth="1"/>
    <col min="11522" max="11522" width="35.28515625" customWidth="1"/>
    <col min="11777" max="11777" width="77" customWidth="1"/>
    <col min="11778" max="11778" width="35.28515625" customWidth="1"/>
    <col min="12033" max="12033" width="77" customWidth="1"/>
    <col min="12034" max="12034" width="35.28515625" customWidth="1"/>
    <col min="12289" max="12289" width="77" customWidth="1"/>
    <col min="12290" max="12290" width="35.28515625" customWidth="1"/>
    <col min="12545" max="12545" width="77" customWidth="1"/>
    <col min="12546" max="12546" width="35.28515625" customWidth="1"/>
    <col min="12801" max="12801" width="77" customWidth="1"/>
    <col min="12802" max="12802" width="35.28515625" customWidth="1"/>
    <col min="13057" max="13057" width="77" customWidth="1"/>
    <col min="13058" max="13058" width="35.28515625" customWidth="1"/>
    <col min="13313" max="13313" width="77" customWidth="1"/>
    <col min="13314" max="13314" width="35.28515625" customWidth="1"/>
    <col min="13569" max="13569" width="77" customWidth="1"/>
    <col min="13570" max="13570" width="35.28515625" customWidth="1"/>
    <col min="13825" max="13825" width="77" customWidth="1"/>
    <col min="13826" max="13826" width="35.28515625" customWidth="1"/>
    <col min="14081" max="14081" width="77" customWidth="1"/>
    <col min="14082" max="14082" width="35.28515625" customWidth="1"/>
    <col min="14337" max="14337" width="77" customWidth="1"/>
    <col min="14338" max="14338" width="35.28515625" customWidth="1"/>
    <col min="14593" max="14593" width="77" customWidth="1"/>
    <col min="14594" max="14594" width="35.28515625" customWidth="1"/>
    <col min="14849" max="14849" width="77" customWidth="1"/>
    <col min="14850" max="14850" width="35.28515625" customWidth="1"/>
    <col min="15105" max="15105" width="77" customWidth="1"/>
    <col min="15106" max="15106" width="35.28515625" customWidth="1"/>
    <col min="15361" max="15361" width="77" customWidth="1"/>
    <col min="15362" max="15362" width="35.28515625" customWidth="1"/>
    <col min="15617" max="15617" width="77" customWidth="1"/>
    <col min="15618" max="15618" width="35.28515625" customWidth="1"/>
    <col min="15873" max="15873" width="77" customWidth="1"/>
    <col min="15874" max="15874" width="35.28515625" customWidth="1"/>
    <col min="16129" max="16129" width="77" customWidth="1"/>
    <col min="16130" max="16130" width="35.28515625" customWidth="1"/>
  </cols>
  <sheetData>
    <row r="1" spans="1:5">
      <c r="A1" s="90" t="s">
        <v>26</v>
      </c>
      <c r="B1" s="90"/>
      <c r="C1" s="90"/>
      <c r="D1" s="90"/>
      <c r="E1" s="90"/>
    </row>
    <row r="3" spans="1:5" ht="15.75" thickBot="1"/>
    <row r="4" spans="1:5" ht="30.75" customHeight="1" thickBot="1">
      <c r="A4" s="74" t="s">
        <v>79</v>
      </c>
      <c r="B4" s="75" t="s">
        <v>80</v>
      </c>
      <c r="C4" s="75" t="s">
        <v>105</v>
      </c>
      <c r="E4">
        <v>2171.6</v>
      </c>
    </row>
    <row r="5" spans="1:5" ht="60" customHeight="1" thickBot="1">
      <c r="A5" s="76" t="s">
        <v>81</v>
      </c>
      <c r="B5" s="110">
        <v>4.01</v>
      </c>
      <c r="C5" s="110">
        <f>B5*E4*12</f>
        <v>104497.39199999999</v>
      </c>
    </row>
    <row r="6" spans="1:5" ht="15.75" thickBot="1">
      <c r="A6" s="77" t="s">
        <v>82</v>
      </c>
      <c r="B6" s="111"/>
      <c r="C6" s="111"/>
    </row>
    <row r="7" spans="1:5" ht="15.75" thickBot="1">
      <c r="A7" s="77" t="s">
        <v>83</v>
      </c>
      <c r="B7" s="111"/>
      <c r="C7" s="111"/>
    </row>
    <row r="8" spans="1:5" ht="15.75" thickBot="1">
      <c r="A8" s="77" t="s">
        <v>84</v>
      </c>
      <c r="B8" s="111"/>
      <c r="C8" s="111"/>
    </row>
    <row r="9" spans="1:5" ht="15.75" thickBot="1">
      <c r="A9" s="77" t="s">
        <v>85</v>
      </c>
      <c r="B9" s="111"/>
      <c r="C9" s="111"/>
    </row>
    <row r="10" spans="1:5" ht="15.75" thickBot="1">
      <c r="A10" s="77" t="s">
        <v>86</v>
      </c>
      <c r="B10" s="111"/>
      <c r="C10" s="111"/>
    </row>
    <row r="11" spans="1:5" ht="15.75" thickBot="1">
      <c r="A11" s="77" t="s">
        <v>87</v>
      </c>
      <c r="B11" s="111"/>
      <c r="C11" s="111"/>
    </row>
    <row r="12" spans="1:5" ht="17.25" customHeight="1" thickBot="1">
      <c r="A12" s="77" t="s">
        <v>88</v>
      </c>
      <c r="B12" s="111"/>
      <c r="C12" s="111"/>
    </row>
    <row r="13" spans="1:5" ht="18" customHeight="1" thickBot="1">
      <c r="A13" s="77" t="s">
        <v>89</v>
      </c>
      <c r="B13" s="111"/>
      <c r="C13" s="111"/>
    </row>
    <row r="14" spans="1:5" ht="15.75" thickBot="1">
      <c r="A14" s="77" t="s">
        <v>90</v>
      </c>
      <c r="B14" s="111"/>
      <c r="C14" s="111"/>
    </row>
    <row r="15" spans="1:5" ht="15.75" thickBot="1">
      <c r="A15" s="77" t="s">
        <v>91</v>
      </c>
      <c r="B15" s="112"/>
      <c r="C15" s="112"/>
    </row>
    <row r="16" spans="1:5" ht="31.5" customHeight="1" thickBot="1">
      <c r="A16" s="76" t="s">
        <v>92</v>
      </c>
      <c r="B16" s="113">
        <v>4.92</v>
      </c>
      <c r="C16" s="113">
        <f>B16*E4*12</f>
        <v>128211.264</v>
      </c>
    </row>
    <row r="17" spans="1:3" ht="15.75" thickBot="1">
      <c r="A17" s="78" t="s">
        <v>93</v>
      </c>
      <c r="B17" s="114"/>
      <c r="C17" s="114"/>
    </row>
    <row r="18" spans="1:3" ht="15.75" thickBot="1">
      <c r="A18" s="78" t="s">
        <v>94</v>
      </c>
      <c r="B18" s="114"/>
      <c r="C18" s="114"/>
    </row>
    <row r="19" spans="1:3" ht="15.75" customHeight="1" thickBot="1">
      <c r="A19" s="77" t="s">
        <v>95</v>
      </c>
      <c r="B19" s="114"/>
      <c r="C19" s="114"/>
    </row>
    <row r="20" spans="1:3" ht="16.5" customHeight="1" thickBot="1">
      <c r="A20" s="77" t="s">
        <v>96</v>
      </c>
      <c r="B20" s="115"/>
      <c r="C20" s="115"/>
    </row>
    <row r="21" spans="1:3" ht="20.25" customHeight="1" thickBot="1">
      <c r="A21" s="76" t="s">
        <v>97</v>
      </c>
      <c r="B21" s="79">
        <v>11.25</v>
      </c>
      <c r="C21" s="79">
        <f>B21*E4*12</f>
        <v>293166</v>
      </c>
    </row>
    <row r="22" spans="1:3" ht="15.75" thickBot="1">
      <c r="A22" s="80" t="s">
        <v>98</v>
      </c>
      <c r="B22" s="81">
        <v>1.65</v>
      </c>
      <c r="C22" s="81">
        <f>B22*E4*12</f>
        <v>42997.68</v>
      </c>
    </row>
    <row r="23" spans="1:3" ht="42.75" customHeight="1" thickBot="1">
      <c r="A23" s="82" t="s">
        <v>99</v>
      </c>
      <c r="B23" s="83">
        <v>4.8099999999999996</v>
      </c>
      <c r="C23" s="83">
        <f>B23*E4*12</f>
        <v>125344.75199999998</v>
      </c>
    </row>
    <row r="24" spans="1:3" ht="19.5" customHeight="1">
      <c r="A24" s="106" t="s">
        <v>100</v>
      </c>
      <c r="B24" s="108">
        <v>3.54</v>
      </c>
      <c r="C24" s="108">
        <f>B24*E4*12</f>
        <v>92249.567999999999</v>
      </c>
    </row>
    <row r="25" spans="1:3" ht="15.75" hidden="1" customHeight="1">
      <c r="A25" s="107"/>
      <c r="B25" s="109"/>
      <c r="C25" s="109"/>
    </row>
    <row r="26" spans="1:3" ht="15.75" thickBot="1">
      <c r="A26" s="82" t="s">
        <v>101</v>
      </c>
      <c r="B26" s="81">
        <v>1.25</v>
      </c>
      <c r="C26" s="81">
        <f>B26*E4*12</f>
        <v>32574</v>
      </c>
    </row>
    <row r="27" spans="1:3" ht="15.75" thickBot="1">
      <c r="A27" s="84" t="s">
        <v>102</v>
      </c>
      <c r="B27" s="85">
        <v>20.18</v>
      </c>
      <c r="C27" s="85">
        <f>C26+C24+C23+C22+C16+C5</f>
        <v>525874.65599999996</v>
      </c>
    </row>
    <row r="28" spans="1:3" ht="15.75" thickBot="1">
      <c r="A28" s="86" t="s">
        <v>103</v>
      </c>
      <c r="B28" s="87">
        <v>2.02</v>
      </c>
      <c r="C28" s="87">
        <f>B28*E4*12</f>
        <v>52639.583999999995</v>
      </c>
    </row>
    <row r="29" spans="1:3" ht="15.75" thickBot="1">
      <c r="A29" s="84" t="s">
        <v>104</v>
      </c>
      <c r="B29" s="88">
        <v>22.2</v>
      </c>
      <c r="C29" s="88">
        <f>C28+C27</f>
        <v>578514.24</v>
      </c>
    </row>
    <row r="30" spans="1:3">
      <c r="A30" s="89"/>
    </row>
  </sheetData>
  <mergeCells count="8">
    <mergeCell ref="A24:A25"/>
    <mergeCell ref="B24:B25"/>
    <mergeCell ref="A1:E1"/>
    <mergeCell ref="B5:B15"/>
    <mergeCell ref="B16:B20"/>
    <mergeCell ref="C5:C15"/>
    <mergeCell ref="C16:C20"/>
    <mergeCell ref="C24:C25"/>
  </mergeCells>
  <phoneticPr fontId="6" type="noConversion"/>
  <pageMargins left="0.75" right="0.75" top="1" bottom="1" header="0.5" footer="0.5"/>
  <headerFooter alignWithMargins="0"/>
</worksheet>
</file>

<file path=xl/worksheets/sheet123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30"/>
  <sheetViews>
    <sheetView workbookViewId="0">
      <selection activeCell="E2" sqref="E1:E1048576"/>
    </sheetView>
  </sheetViews>
  <sheetFormatPr defaultRowHeight="15"/>
  <cols>
    <col min="1" max="1" width="77" customWidth="1"/>
    <col min="2" max="2" width="15.7109375" customWidth="1"/>
    <col min="3" max="3" width="15.28515625" customWidth="1"/>
    <col min="5" max="5" width="0" hidden="1" customWidth="1"/>
    <col min="257" max="257" width="77" customWidth="1"/>
    <col min="258" max="258" width="35.28515625" customWidth="1"/>
    <col min="513" max="513" width="77" customWidth="1"/>
    <col min="514" max="514" width="35.28515625" customWidth="1"/>
    <col min="769" max="769" width="77" customWidth="1"/>
    <col min="770" max="770" width="35.28515625" customWidth="1"/>
    <col min="1025" max="1025" width="77" customWidth="1"/>
    <col min="1026" max="1026" width="35.28515625" customWidth="1"/>
    <col min="1281" max="1281" width="77" customWidth="1"/>
    <col min="1282" max="1282" width="35.28515625" customWidth="1"/>
    <col min="1537" max="1537" width="77" customWidth="1"/>
    <col min="1538" max="1538" width="35.28515625" customWidth="1"/>
    <col min="1793" max="1793" width="77" customWidth="1"/>
    <col min="1794" max="1794" width="35.28515625" customWidth="1"/>
    <col min="2049" max="2049" width="77" customWidth="1"/>
    <col min="2050" max="2050" width="35.28515625" customWidth="1"/>
    <col min="2305" max="2305" width="77" customWidth="1"/>
    <col min="2306" max="2306" width="35.28515625" customWidth="1"/>
    <col min="2561" max="2561" width="77" customWidth="1"/>
    <col min="2562" max="2562" width="35.28515625" customWidth="1"/>
    <col min="2817" max="2817" width="77" customWidth="1"/>
    <col min="2818" max="2818" width="35.28515625" customWidth="1"/>
    <col min="3073" max="3073" width="77" customWidth="1"/>
    <col min="3074" max="3074" width="35.28515625" customWidth="1"/>
    <col min="3329" max="3329" width="77" customWidth="1"/>
    <col min="3330" max="3330" width="35.28515625" customWidth="1"/>
    <col min="3585" max="3585" width="77" customWidth="1"/>
    <col min="3586" max="3586" width="35.28515625" customWidth="1"/>
    <col min="3841" max="3841" width="77" customWidth="1"/>
    <col min="3842" max="3842" width="35.28515625" customWidth="1"/>
    <col min="4097" max="4097" width="77" customWidth="1"/>
    <col min="4098" max="4098" width="35.28515625" customWidth="1"/>
    <col min="4353" max="4353" width="77" customWidth="1"/>
    <col min="4354" max="4354" width="35.28515625" customWidth="1"/>
    <col min="4609" max="4609" width="77" customWidth="1"/>
    <col min="4610" max="4610" width="35.28515625" customWidth="1"/>
    <col min="4865" max="4865" width="77" customWidth="1"/>
    <col min="4866" max="4866" width="35.28515625" customWidth="1"/>
    <col min="5121" max="5121" width="77" customWidth="1"/>
    <col min="5122" max="5122" width="35.28515625" customWidth="1"/>
    <col min="5377" max="5377" width="77" customWidth="1"/>
    <col min="5378" max="5378" width="35.28515625" customWidth="1"/>
    <col min="5633" max="5633" width="77" customWidth="1"/>
    <col min="5634" max="5634" width="35.28515625" customWidth="1"/>
    <col min="5889" max="5889" width="77" customWidth="1"/>
    <col min="5890" max="5890" width="35.28515625" customWidth="1"/>
    <col min="6145" max="6145" width="77" customWidth="1"/>
    <col min="6146" max="6146" width="35.28515625" customWidth="1"/>
    <col min="6401" max="6401" width="77" customWidth="1"/>
    <col min="6402" max="6402" width="35.28515625" customWidth="1"/>
    <col min="6657" max="6657" width="77" customWidth="1"/>
    <col min="6658" max="6658" width="35.28515625" customWidth="1"/>
    <col min="6913" max="6913" width="77" customWidth="1"/>
    <col min="6914" max="6914" width="35.28515625" customWidth="1"/>
    <col min="7169" max="7169" width="77" customWidth="1"/>
    <col min="7170" max="7170" width="35.28515625" customWidth="1"/>
    <col min="7425" max="7425" width="77" customWidth="1"/>
    <col min="7426" max="7426" width="35.28515625" customWidth="1"/>
    <col min="7681" max="7681" width="77" customWidth="1"/>
    <col min="7682" max="7682" width="35.28515625" customWidth="1"/>
    <col min="7937" max="7937" width="77" customWidth="1"/>
    <col min="7938" max="7938" width="35.28515625" customWidth="1"/>
    <col min="8193" max="8193" width="77" customWidth="1"/>
    <col min="8194" max="8194" width="35.28515625" customWidth="1"/>
    <col min="8449" max="8449" width="77" customWidth="1"/>
    <col min="8450" max="8450" width="35.28515625" customWidth="1"/>
    <col min="8705" max="8705" width="77" customWidth="1"/>
    <col min="8706" max="8706" width="35.28515625" customWidth="1"/>
    <col min="8961" max="8961" width="77" customWidth="1"/>
    <col min="8962" max="8962" width="35.28515625" customWidth="1"/>
    <col min="9217" max="9217" width="77" customWidth="1"/>
    <col min="9218" max="9218" width="35.28515625" customWidth="1"/>
    <col min="9473" max="9473" width="77" customWidth="1"/>
    <col min="9474" max="9474" width="35.28515625" customWidth="1"/>
    <col min="9729" max="9729" width="77" customWidth="1"/>
    <col min="9730" max="9730" width="35.28515625" customWidth="1"/>
    <col min="9985" max="9985" width="77" customWidth="1"/>
    <col min="9986" max="9986" width="35.28515625" customWidth="1"/>
    <col min="10241" max="10241" width="77" customWidth="1"/>
    <col min="10242" max="10242" width="35.28515625" customWidth="1"/>
    <col min="10497" max="10497" width="77" customWidth="1"/>
    <col min="10498" max="10498" width="35.28515625" customWidth="1"/>
    <col min="10753" max="10753" width="77" customWidth="1"/>
    <col min="10754" max="10754" width="35.28515625" customWidth="1"/>
    <col min="11009" max="11009" width="77" customWidth="1"/>
    <col min="11010" max="11010" width="35.28515625" customWidth="1"/>
    <col min="11265" max="11265" width="77" customWidth="1"/>
    <col min="11266" max="11266" width="35.28515625" customWidth="1"/>
    <col min="11521" max="11521" width="77" customWidth="1"/>
    <col min="11522" max="11522" width="35.28515625" customWidth="1"/>
    <col min="11777" max="11777" width="77" customWidth="1"/>
    <col min="11778" max="11778" width="35.28515625" customWidth="1"/>
    <col min="12033" max="12033" width="77" customWidth="1"/>
    <col min="12034" max="12034" width="35.28515625" customWidth="1"/>
    <col min="12289" max="12289" width="77" customWidth="1"/>
    <col min="12290" max="12290" width="35.28515625" customWidth="1"/>
    <col min="12545" max="12545" width="77" customWidth="1"/>
    <col min="12546" max="12546" width="35.28515625" customWidth="1"/>
    <col min="12801" max="12801" width="77" customWidth="1"/>
    <col min="12802" max="12802" width="35.28515625" customWidth="1"/>
    <col min="13057" max="13057" width="77" customWidth="1"/>
    <col min="13058" max="13058" width="35.28515625" customWidth="1"/>
    <col min="13313" max="13313" width="77" customWidth="1"/>
    <col min="13314" max="13314" width="35.28515625" customWidth="1"/>
    <col min="13569" max="13569" width="77" customWidth="1"/>
    <col min="13570" max="13570" width="35.28515625" customWidth="1"/>
    <col min="13825" max="13825" width="77" customWidth="1"/>
    <col min="13826" max="13826" width="35.28515625" customWidth="1"/>
    <col min="14081" max="14081" width="77" customWidth="1"/>
    <col min="14082" max="14082" width="35.28515625" customWidth="1"/>
    <col min="14337" max="14337" width="77" customWidth="1"/>
    <col min="14338" max="14338" width="35.28515625" customWidth="1"/>
    <col min="14593" max="14593" width="77" customWidth="1"/>
    <col min="14594" max="14594" width="35.28515625" customWidth="1"/>
    <col min="14849" max="14849" width="77" customWidth="1"/>
    <col min="14850" max="14850" width="35.28515625" customWidth="1"/>
    <col min="15105" max="15105" width="77" customWidth="1"/>
    <col min="15106" max="15106" width="35.28515625" customWidth="1"/>
    <col min="15361" max="15361" width="77" customWidth="1"/>
    <col min="15362" max="15362" width="35.28515625" customWidth="1"/>
    <col min="15617" max="15617" width="77" customWidth="1"/>
    <col min="15618" max="15618" width="35.28515625" customWidth="1"/>
    <col min="15873" max="15873" width="77" customWidth="1"/>
    <col min="15874" max="15874" width="35.28515625" customWidth="1"/>
    <col min="16129" max="16129" width="77" customWidth="1"/>
    <col min="16130" max="16130" width="35.28515625" customWidth="1"/>
  </cols>
  <sheetData>
    <row r="1" spans="1:5">
      <c r="A1" s="90" t="s">
        <v>26</v>
      </c>
      <c r="B1" s="90"/>
      <c r="C1" s="90"/>
      <c r="D1" s="90"/>
      <c r="E1" s="90"/>
    </row>
    <row r="3" spans="1:5" ht="15.75" thickBot="1"/>
    <row r="4" spans="1:5" ht="30.75" customHeight="1" thickBot="1">
      <c r="A4" s="74" t="s">
        <v>79</v>
      </c>
      <c r="B4" s="75" t="s">
        <v>80</v>
      </c>
      <c r="C4" s="75" t="s">
        <v>105</v>
      </c>
      <c r="E4">
        <v>2166.1999999999998</v>
      </c>
    </row>
    <row r="5" spans="1:5" ht="60" customHeight="1" thickBot="1">
      <c r="A5" s="76" t="s">
        <v>81</v>
      </c>
      <c r="B5" s="110">
        <v>4.01</v>
      </c>
      <c r="C5" s="110">
        <f>B5*E4*12</f>
        <v>104237.54399999999</v>
      </c>
    </row>
    <row r="6" spans="1:5" ht="15.75" thickBot="1">
      <c r="A6" s="77" t="s">
        <v>82</v>
      </c>
      <c r="B6" s="111"/>
      <c r="C6" s="111"/>
    </row>
    <row r="7" spans="1:5" ht="15.75" thickBot="1">
      <c r="A7" s="77" t="s">
        <v>83</v>
      </c>
      <c r="B7" s="111"/>
      <c r="C7" s="111"/>
    </row>
    <row r="8" spans="1:5" ht="15.75" thickBot="1">
      <c r="A8" s="77" t="s">
        <v>84</v>
      </c>
      <c r="B8" s="111"/>
      <c r="C8" s="111"/>
    </row>
    <row r="9" spans="1:5" ht="15.75" thickBot="1">
      <c r="A9" s="77" t="s">
        <v>85</v>
      </c>
      <c r="B9" s="111"/>
      <c r="C9" s="111"/>
    </row>
    <row r="10" spans="1:5" ht="15.75" thickBot="1">
      <c r="A10" s="77" t="s">
        <v>86</v>
      </c>
      <c r="B10" s="111"/>
      <c r="C10" s="111"/>
    </row>
    <row r="11" spans="1:5" ht="15.75" thickBot="1">
      <c r="A11" s="77" t="s">
        <v>87</v>
      </c>
      <c r="B11" s="111"/>
      <c r="C11" s="111"/>
    </row>
    <row r="12" spans="1:5" ht="17.25" customHeight="1" thickBot="1">
      <c r="A12" s="77" t="s">
        <v>88</v>
      </c>
      <c r="B12" s="111"/>
      <c r="C12" s="111"/>
    </row>
    <row r="13" spans="1:5" ht="18" customHeight="1" thickBot="1">
      <c r="A13" s="77" t="s">
        <v>89</v>
      </c>
      <c r="B13" s="111"/>
      <c r="C13" s="111"/>
    </row>
    <row r="14" spans="1:5" ht="15.75" thickBot="1">
      <c r="A14" s="77" t="s">
        <v>90</v>
      </c>
      <c r="B14" s="111"/>
      <c r="C14" s="111"/>
    </row>
    <row r="15" spans="1:5" ht="15.75" thickBot="1">
      <c r="A15" s="77" t="s">
        <v>91</v>
      </c>
      <c r="B15" s="112"/>
      <c r="C15" s="112"/>
    </row>
    <row r="16" spans="1:5" ht="31.5" customHeight="1" thickBot="1">
      <c r="A16" s="76" t="s">
        <v>92</v>
      </c>
      <c r="B16" s="113">
        <v>4.92</v>
      </c>
      <c r="C16" s="113">
        <f>B16*E4*12</f>
        <v>127892.448</v>
      </c>
    </row>
    <row r="17" spans="1:3" ht="15.75" thickBot="1">
      <c r="A17" s="78" t="s">
        <v>93</v>
      </c>
      <c r="B17" s="114"/>
      <c r="C17" s="114"/>
    </row>
    <row r="18" spans="1:3" ht="15.75" thickBot="1">
      <c r="A18" s="78" t="s">
        <v>94</v>
      </c>
      <c r="B18" s="114"/>
      <c r="C18" s="114"/>
    </row>
    <row r="19" spans="1:3" ht="15.75" customHeight="1" thickBot="1">
      <c r="A19" s="77" t="s">
        <v>95</v>
      </c>
      <c r="B19" s="114"/>
      <c r="C19" s="114"/>
    </row>
    <row r="20" spans="1:3" ht="16.5" customHeight="1" thickBot="1">
      <c r="A20" s="77" t="s">
        <v>96</v>
      </c>
      <c r="B20" s="115"/>
      <c r="C20" s="115"/>
    </row>
    <row r="21" spans="1:3" ht="20.25" customHeight="1" thickBot="1">
      <c r="A21" s="76" t="s">
        <v>97</v>
      </c>
      <c r="B21" s="79">
        <v>11.25</v>
      </c>
      <c r="C21" s="79">
        <f>B21*E4*12</f>
        <v>292436.99999999994</v>
      </c>
    </row>
    <row r="22" spans="1:3" ht="15.75" thickBot="1">
      <c r="A22" s="80" t="s">
        <v>98</v>
      </c>
      <c r="B22" s="81">
        <v>1.65</v>
      </c>
      <c r="C22" s="81">
        <f>B22*E4*12</f>
        <v>42890.759999999995</v>
      </c>
    </row>
    <row r="23" spans="1:3" ht="42.75" customHeight="1" thickBot="1">
      <c r="A23" s="82" t="s">
        <v>99</v>
      </c>
      <c r="B23" s="83">
        <v>4.8099999999999996</v>
      </c>
      <c r="C23" s="83">
        <f>B23*E4*12</f>
        <v>125033.06399999998</v>
      </c>
    </row>
    <row r="24" spans="1:3" ht="19.5" customHeight="1">
      <c r="A24" s="106" t="s">
        <v>100</v>
      </c>
      <c r="B24" s="108">
        <v>3.54</v>
      </c>
      <c r="C24" s="108">
        <f>B24*E4*12</f>
        <v>92020.175999999992</v>
      </c>
    </row>
    <row r="25" spans="1:3" ht="15.75" hidden="1" customHeight="1">
      <c r="A25" s="107"/>
      <c r="B25" s="109"/>
      <c r="C25" s="109"/>
    </row>
    <row r="26" spans="1:3" ht="15.75" thickBot="1">
      <c r="A26" s="82" t="s">
        <v>101</v>
      </c>
      <c r="B26" s="81">
        <v>1.25</v>
      </c>
      <c r="C26" s="81">
        <f>B26*E4*12</f>
        <v>32493</v>
      </c>
    </row>
    <row r="27" spans="1:3" ht="15.75" thickBot="1">
      <c r="A27" s="84" t="s">
        <v>102</v>
      </c>
      <c r="B27" s="85">
        <v>20.18</v>
      </c>
      <c r="C27" s="85">
        <f>C26+C24+C23+C22+C16+C5</f>
        <v>524566.99199999997</v>
      </c>
    </row>
    <row r="28" spans="1:3" ht="15.75" thickBot="1">
      <c r="A28" s="86" t="s">
        <v>103</v>
      </c>
      <c r="B28" s="87">
        <v>2.02</v>
      </c>
      <c r="C28" s="87">
        <f>B28*E4*12</f>
        <v>52508.687999999995</v>
      </c>
    </row>
    <row r="29" spans="1:3" ht="15.75" thickBot="1">
      <c r="A29" s="84" t="s">
        <v>104</v>
      </c>
      <c r="B29" s="88">
        <v>22.2</v>
      </c>
      <c r="C29" s="88">
        <f>C28+C27</f>
        <v>577075.67999999993</v>
      </c>
    </row>
    <row r="30" spans="1:3">
      <c r="A30" s="89"/>
    </row>
  </sheetData>
  <mergeCells count="8">
    <mergeCell ref="A1:E1"/>
    <mergeCell ref="B5:B15"/>
    <mergeCell ref="B16:B20"/>
    <mergeCell ref="A24:A25"/>
    <mergeCell ref="B24:B25"/>
    <mergeCell ref="C5:C15"/>
    <mergeCell ref="C16:C20"/>
    <mergeCell ref="C24:C25"/>
  </mergeCells>
  <phoneticPr fontId="6" type="noConversion"/>
  <pageMargins left="0.75" right="0.75" top="1" bottom="1" header="0.5" footer="0.5"/>
  <headerFooter alignWithMargins="0"/>
</worksheet>
</file>

<file path=xl/worksheets/sheet124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30"/>
  <sheetViews>
    <sheetView workbookViewId="0">
      <selection activeCell="E2" sqref="E1:E1048576"/>
    </sheetView>
  </sheetViews>
  <sheetFormatPr defaultRowHeight="15"/>
  <cols>
    <col min="1" max="1" width="77" customWidth="1"/>
    <col min="2" max="2" width="15.7109375" customWidth="1"/>
    <col min="3" max="3" width="15.28515625" customWidth="1"/>
    <col min="5" max="5" width="0" hidden="1" customWidth="1"/>
    <col min="257" max="257" width="77" customWidth="1"/>
    <col min="258" max="258" width="35.28515625" customWidth="1"/>
    <col min="513" max="513" width="77" customWidth="1"/>
    <col min="514" max="514" width="35.28515625" customWidth="1"/>
    <col min="769" max="769" width="77" customWidth="1"/>
    <col min="770" max="770" width="35.28515625" customWidth="1"/>
    <col min="1025" max="1025" width="77" customWidth="1"/>
    <col min="1026" max="1026" width="35.28515625" customWidth="1"/>
    <col min="1281" max="1281" width="77" customWidth="1"/>
    <col min="1282" max="1282" width="35.28515625" customWidth="1"/>
    <col min="1537" max="1537" width="77" customWidth="1"/>
    <col min="1538" max="1538" width="35.28515625" customWidth="1"/>
    <col min="1793" max="1793" width="77" customWidth="1"/>
    <col min="1794" max="1794" width="35.28515625" customWidth="1"/>
    <col min="2049" max="2049" width="77" customWidth="1"/>
    <col min="2050" max="2050" width="35.28515625" customWidth="1"/>
    <col min="2305" max="2305" width="77" customWidth="1"/>
    <col min="2306" max="2306" width="35.28515625" customWidth="1"/>
    <col min="2561" max="2561" width="77" customWidth="1"/>
    <col min="2562" max="2562" width="35.28515625" customWidth="1"/>
    <col min="2817" max="2817" width="77" customWidth="1"/>
    <col min="2818" max="2818" width="35.28515625" customWidth="1"/>
    <col min="3073" max="3073" width="77" customWidth="1"/>
    <col min="3074" max="3074" width="35.28515625" customWidth="1"/>
    <col min="3329" max="3329" width="77" customWidth="1"/>
    <col min="3330" max="3330" width="35.28515625" customWidth="1"/>
    <col min="3585" max="3585" width="77" customWidth="1"/>
    <col min="3586" max="3586" width="35.28515625" customWidth="1"/>
    <col min="3841" max="3841" width="77" customWidth="1"/>
    <col min="3842" max="3842" width="35.28515625" customWidth="1"/>
    <col min="4097" max="4097" width="77" customWidth="1"/>
    <col min="4098" max="4098" width="35.28515625" customWidth="1"/>
    <col min="4353" max="4353" width="77" customWidth="1"/>
    <col min="4354" max="4354" width="35.28515625" customWidth="1"/>
    <col min="4609" max="4609" width="77" customWidth="1"/>
    <col min="4610" max="4610" width="35.28515625" customWidth="1"/>
    <col min="4865" max="4865" width="77" customWidth="1"/>
    <col min="4866" max="4866" width="35.28515625" customWidth="1"/>
    <col min="5121" max="5121" width="77" customWidth="1"/>
    <col min="5122" max="5122" width="35.28515625" customWidth="1"/>
    <col min="5377" max="5377" width="77" customWidth="1"/>
    <col min="5378" max="5378" width="35.28515625" customWidth="1"/>
    <col min="5633" max="5633" width="77" customWidth="1"/>
    <col min="5634" max="5634" width="35.28515625" customWidth="1"/>
    <col min="5889" max="5889" width="77" customWidth="1"/>
    <col min="5890" max="5890" width="35.28515625" customWidth="1"/>
    <col min="6145" max="6145" width="77" customWidth="1"/>
    <col min="6146" max="6146" width="35.28515625" customWidth="1"/>
    <col min="6401" max="6401" width="77" customWidth="1"/>
    <col min="6402" max="6402" width="35.28515625" customWidth="1"/>
    <col min="6657" max="6657" width="77" customWidth="1"/>
    <col min="6658" max="6658" width="35.28515625" customWidth="1"/>
    <col min="6913" max="6913" width="77" customWidth="1"/>
    <col min="6914" max="6914" width="35.28515625" customWidth="1"/>
    <col min="7169" max="7169" width="77" customWidth="1"/>
    <col min="7170" max="7170" width="35.28515625" customWidth="1"/>
    <col min="7425" max="7425" width="77" customWidth="1"/>
    <col min="7426" max="7426" width="35.28515625" customWidth="1"/>
    <col min="7681" max="7681" width="77" customWidth="1"/>
    <col min="7682" max="7682" width="35.28515625" customWidth="1"/>
    <col min="7937" max="7937" width="77" customWidth="1"/>
    <col min="7938" max="7938" width="35.28515625" customWidth="1"/>
    <col min="8193" max="8193" width="77" customWidth="1"/>
    <col min="8194" max="8194" width="35.28515625" customWidth="1"/>
    <col min="8449" max="8449" width="77" customWidth="1"/>
    <col min="8450" max="8450" width="35.28515625" customWidth="1"/>
    <col min="8705" max="8705" width="77" customWidth="1"/>
    <col min="8706" max="8706" width="35.28515625" customWidth="1"/>
    <col min="8961" max="8961" width="77" customWidth="1"/>
    <col min="8962" max="8962" width="35.28515625" customWidth="1"/>
    <col min="9217" max="9217" width="77" customWidth="1"/>
    <col min="9218" max="9218" width="35.28515625" customWidth="1"/>
    <col min="9473" max="9473" width="77" customWidth="1"/>
    <col min="9474" max="9474" width="35.28515625" customWidth="1"/>
    <col min="9729" max="9729" width="77" customWidth="1"/>
    <col min="9730" max="9730" width="35.28515625" customWidth="1"/>
    <col min="9985" max="9985" width="77" customWidth="1"/>
    <col min="9986" max="9986" width="35.28515625" customWidth="1"/>
    <col min="10241" max="10241" width="77" customWidth="1"/>
    <col min="10242" max="10242" width="35.28515625" customWidth="1"/>
    <col min="10497" max="10497" width="77" customWidth="1"/>
    <col min="10498" max="10498" width="35.28515625" customWidth="1"/>
    <col min="10753" max="10753" width="77" customWidth="1"/>
    <col min="10754" max="10754" width="35.28515625" customWidth="1"/>
    <col min="11009" max="11009" width="77" customWidth="1"/>
    <col min="11010" max="11010" width="35.28515625" customWidth="1"/>
    <col min="11265" max="11265" width="77" customWidth="1"/>
    <col min="11266" max="11266" width="35.28515625" customWidth="1"/>
    <col min="11521" max="11521" width="77" customWidth="1"/>
    <col min="11522" max="11522" width="35.28515625" customWidth="1"/>
    <col min="11777" max="11777" width="77" customWidth="1"/>
    <col min="11778" max="11778" width="35.28515625" customWidth="1"/>
    <col min="12033" max="12033" width="77" customWidth="1"/>
    <col min="12034" max="12034" width="35.28515625" customWidth="1"/>
    <col min="12289" max="12289" width="77" customWidth="1"/>
    <col min="12290" max="12290" width="35.28515625" customWidth="1"/>
    <col min="12545" max="12545" width="77" customWidth="1"/>
    <col min="12546" max="12546" width="35.28515625" customWidth="1"/>
    <col min="12801" max="12801" width="77" customWidth="1"/>
    <col min="12802" max="12802" width="35.28515625" customWidth="1"/>
    <col min="13057" max="13057" width="77" customWidth="1"/>
    <col min="13058" max="13058" width="35.28515625" customWidth="1"/>
    <col min="13313" max="13313" width="77" customWidth="1"/>
    <col min="13314" max="13314" width="35.28515625" customWidth="1"/>
    <col min="13569" max="13569" width="77" customWidth="1"/>
    <col min="13570" max="13570" width="35.28515625" customWidth="1"/>
    <col min="13825" max="13825" width="77" customWidth="1"/>
    <col min="13826" max="13826" width="35.28515625" customWidth="1"/>
    <col min="14081" max="14081" width="77" customWidth="1"/>
    <col min="14082" max="14082" width="35.28515625" customWidth="1"/>
    <col min="14337" max="14337" width="77" customWidth="1"/>
    <col min="14338" max="14338" width="35.28515625" customWidth="1"/>
    <col min="14593" max="14593" width="77" customWidth="1"/>
    <col min="14594" max="14594" width="35.28515625" customWidth="1"/>
    <col min="14849" max="14849" width="77" customWidth="1"/>
    <col min="14850" max="14850" width="35.28515625" customWidth="1"/>
    <col min="15105" max="15105" width="77" customWidth="1"/>
    <col min="15106" max="15106" width="35.28515625" customWidth="1"/>
    <col min="15361" max="15361" width="77" customWidth="1"/>
    <col min="15362" max="15362" width="35.28515625" customWidth="1"/>
    <col min="15617" max="15617" width="77" customWidth="1"/>
    <col min="15618" max="15618" width="35.28515625" customWidth="1"/>
    <col min="15873" max="15873" width="77" customWidth="1"/>
    <col min="15874" max="15874" width="35.28515625" customWidth="1"/>
    <col min="16129" max="16129" width="77" customWidth="1"/>
    <col min="16130" max="16130" width="35.28515625" customWidth="1"/>
  </cols>
  <sheetData>
    <row r="1" spans="1:5">
      <c r="A1" s="90" t="s">
        <v>26</v>
      </c>
      <c r="B1" s="90"/>
      <c r="C1" s="90"/>
      <c r="D1" s="90"/>
      <c r="E1" s="90"/>
    </row>
    <row r="3" spans="1:5" ht="15.75" thickBot="1"/>
    <row r="4" spans="1:5" ht="30.75" customHeight="1" thickBot="1">
      <c r="A4" s="74" t="s">
        <v>79</v>
      </c>
      <c r="B4" s="75" t="s">
        <v>80</v>
      </c>
      <c r="C4" s="75" t="s">
        <v>105</v>
      </c>
      <c r="E4">
        <v>2166.4</v>
      </c>
    </row>
    <row r="5" spans="1:5" ht="60" customHeight="1" thickBot="1">
      <c r="A5" s="76" t="s">
        <v>81</v>
      </c>
      <c r="B5" s="110">
        <v>4.01</v>
      </c>
      <c r="C5" s="110">
        <f>B5*E4*12</f>
        <v>104247.16799999999</v>
      </c>
    </row>
    <row r="6" spans="1:5" ht="15.75" thickBot="1">
      <c r="A6" s="77" t="s">
        <v>82</v>
      </c>
      <c r="B6" s="111"/>
      <c r="C6" s="111"/>
    </row>
    <row r="7" spans="1:5" ht="15.75" thickBot="1">
      <c r="A7" s="77" t="s">
        <v>83</v>
      </c>
      <c r="B7" s="111"/>
      <c r="C7" s="111"/>
    </row>
    <row r="8" spans="1:5" ht="15.75" thickBot="1">
      <c r="A8" s="77" t="s">
        <v>84</v>
      </c>
      <c r="B8" s="111"/>
      <c r="C8" s="111"/>
    </row>
    <row r="9" spans="1:5" ht="15.75" thickBot="1">
      <c r="A9" s="77" t="s">
        <v>85</v>
      </c>
      <c r="B9" s="111"/>
      <c r="C9" s="111"/>
    </row>
    <row r="10" spans="1:5" ht="15.75" thickBot="1">
      <c r="A10" s="77" t="s">
        <v>86</v>
      </c>
      <c r="B10" s="111"/>
      <c r="C10" s="111"/>
    </row>
    <row r="11" spans="1:5" ht="15.75" thickBot="1">
      <c r="A11" s="77" t="s">
        <v>87</v>
      </c>
      <c r="B11" s="111"/>
      <c r="C11" s="111"/>
    </row>
    <row r="12" spans="1:5" ht="17.25" customHeight="1" thickBot="1">
      <c r="A12" s="77" t="s">
        <v>88</v>
      </c>
      <c r="B12" s="111"/>
      <c r="C12" s="111"/>
    </row>
    <row r="13" spans="1:5" ht="18" customHeight="1" thickBot="1">
      <c r="A13" s="77" t="s">
        <v>89</v>
      </c>
      <c r="B13" s="111"/>
      <c r="C13" s="111"/>
    </row>
    <row r="14" spans="1:5" ht="15.75" thickBot="1">
      <c r="A14" s="77" t="s">
        <v>90</v>
      </c>
      <c r="B14" s="111"/>
      <c r="C14" s="111"/>
    </row>
    <row r="15" spans="1:5" ht="15.75" thickBot="1">
      <c r="A15" s="77" t="s">
        <v>91</v>
      </c>
      <c r="B15" s="112"/>
      <c r="C15" s="112"/>
    </row>
    <row r="16" spans="1:5" ht="31.5" customHeight="1" thickBot="1">
      <c r="A16" s="76" t="s">
        <v>92</v>
      </c>
      <c r="B16" s="113">
        <v>4.92</v>
      </c>
      <c r="C16" s="113">
        <f>B16*E4*12</f>
        <v>127904.25599999999</v>
      </c>
    </row>
    <row r="17" spans="1:3" ht="15.75" thickBot="1">
      <c r="A17" s="78" t="s">
        <v>93</v>
      </c>
      <c r="B17" s="114"/>
      <c r="C17" s="114"/>
    </row>
    <row r="18" spans="1:3" ht="15.75" thickBot="1">
      <c r="A18" s="78" t="s">
        <v>94</v>
      </c>
      <c r="B18" s="114"/>
      <c r="C18" s="114"/>
    </row>
    <row r="19" spans="1:3" ht="15.75" customHeight="1" thickBot="1">
      <c r="A19" s="77" t="s">
        <v>95</v>
      </c>
      <c r="B19" s="114"/>
      <c r="C19" s="114"/>
    </row>
    <row r="20" spans="1:3" ht="16.5" customHeight="1" thickBot="1">
      <c r="A20" s="77" t="s">
        <v>96</v>
      </c>
      <c r="B20" s="115"/>
      <c r="C20" s="115"/>
    </row>
    <row r="21" spans="1:3" ht="20.25" customHeight="1" thickBot="1">
      <c r="A21" s="76" t="s">
        <v>97</v>
      </c>
      <c r="B21" s="79">
        <v>11.25</v>
      </c>
      <c r="C21" s="79">
        <f>B21*E4*12</f>
        <v>292464</v>
      </c>
    </row>
    <row r="22" spans="1:3" ht="15.75" thickBot="1">
      <c r="A22" s="80" t="s">
        <v>98</v>
      </c>
      <c r="B22" s="81">
        <v>1.65</v>
      </c>
      <c r="C22" s="81">
        <f>B22*E4*12</f>
        <v>42894.720000000001</v>
      </c>
    </row>
    <row r="23" spans="1:3" ht="42.75" customHeight="1" thickBot="1">
      <c r="A23" s="82" t="s">
        <v>99</v>
      </c>
      <c r="B23" s="83">
        <v>4.8099999999999996</v>
      </c>
      <c r="C23" s="83">
        <f>B23*E4*12</f>
        <v>125044.60800000001</v>
      </c>
    </row>
    <row r="24" spans="1:3" ht="19.5" customHeight="1">
      <c r="A24" s="106" t="s">
        <v>100</v>
      </c>
      <c r="B24" s="108">
        <v>3.54</v>
      </c>
      <c r="C24" s="108">
        <f>B24*E4*12</f>
        <v>92028.672000000006</v>
      </c>
    </row>
    <row r="25" spans="1:3" ht="15.75" hidden="1" customHeight="1">
      <c r="A25" s="107"/>
      <c r="B25" s="109"/>
      <c r="C25" s="109"/>
    </row>
    <row r="26" spans="1:3" ht="15.75" thickBot="1">
      <c r="A26" s="82" t="s">
        <v>101</v>
      </c>
      <c r="B26" s="81">
        <v>1.25</v>
      </c>
      <c r="C26" s="81">
        <f>B26*E4*12</f>
        <v>32496</v>
      </c>
    </row>
    <row r="27" spans="1:3" ht="15.75" thickBot="1">
      <c r="A27" s="84" t="s">
        <v>102</v>
      </c>
      <c r="B27" s="85">
        <v>20.18</v>
      </c>
      <c r="C27" s="85">
        <f>C26+C24+C23+C22+C16+C5</f>
        <v>524615.424</v>
      </c>
    </row>
    <row r="28" spans="1:3" ht="15.75" thickBot="1">
      <c r="A28" s="86" t="s">
        <v>103</v>
      </c>
      <c r="B28" s="87">
        <v>2.02</v>
      </c>
      <c r="C28" s="87">
        <f>B28*E4*12</f>
        <v>52513.536000000007</v>
      </c>
    </row>
    <row r="29" spans="1:3" ht="15.75" thickBot="1">
      <c r="A29" s="84" t="s">
        <v>104</v>
      </c>
      <c r="B29" s="88">
        <v>22.2</v>
      </c>
      <c r="C29" s="88">
        <f>C28+C27</f>
        <v>577128.95999999996</v>
      </c>
    </row>
    <row r="30" spans="1:3">
      <c r="A30" s="89"/>
    </row>
  </sheetData>
  <mergeCells count="8">
    <mergeCell ref="A1:E1"/>
    <mergeCell ref="B5:B15"/>
    <mergeCell ref="B16:B20"/>
    <mergeCell ref="A24:A25"/>
    <mergeCell ref="B24:B25"/>
    <mergeCell ref="C5:C15"/>
    <mergeCell ref="C16:C20"/>
    <mergeCell ref="C24:C25"/>
  </mergeCells>
  <phoneticPr fontId="6" type="noConversion"/>
  <pageMargins left="0.75" right="0.75" top="1" bottom="1" header="0.5" footer="0.5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30"/>
  <sheetViews>
    <sheetView workbookViewId="0">
      <selection activeCell="E2" sqref="E1:E1048576"/>
    </sheetView>
  </sheetViews>
  <sheetFormatPr defaultRowHeight="15"/>
  <cols>
    <col min="1" max="1" width="77" customWidth="1"/>
    <col min="2" max="2" width="15.7109375" customWidth="1"/>
    <col min="3" max="3" width="15.28515625" customWidth="1"/>
    <col min="5" max="5" width="0" hidden="1" customWidth="1"/>
    <col min="257" max="257" width="77" customWidth="1"/>
    <col min="258" max="258" width="35.28515625" customWidth="1"/>
    <col min="513" max="513" width="77" customWidth="1"/>
    <col min="514" max="514" width="35.28515625" customWidth="1"/>
    <col min="769" max="769" width="77" customWidth="1"/>
    <col min="770" max="770" width="35.28515625" customWidth="1"/>
    <col min="1025" max="1025" width="77" customWidth="1"/>
    <col min="1026" max="1026" width="35.28515625" customWidth="1"/>
    <col min="1281" max="1281" width="77" customWidth="1"/>
    <col min="1282" max="1282" width="35.28515625" customWidth="1"/>
    <col min="1537" max="1537" width="77" customWidth="1"/>
    <col min="1538" max="1538" width="35.28515625" customWidth="1"/>
    <col min="1793" max="1793" width="77" customWidth="1"/>
    <col min="1794" max="1794" width="35.28515625" customWidth="1"/>
    <col min="2049" max="2049" width="77" customWidth="1"/>
    <col min="2050" max="2050" width="35.28515625" customWidth="1"/>
    <col min="2305" max="2305" width="77" customWidth="1"/>
    <col min="2306" max="2306" width="35.28515625" customWidth="1"/>
    <col min="2561" max="2561" width="77" customWidth="1"/>
    <col min="2562" max="2562" width="35.28515625" customWidth="1"/>
    <col min="2817" max="2817" width="77" customWidth="1"/>
    <col min="2818" max="2818" width="35.28515625" customWidth="1"/>
    <col min="3073" max="3073" width="77" customWidth="1"/>
    <col min="3074" max="3074" width="35.28515625" customWidth="1"/>
    <col min="3329" max="3329" width="77" customWidth="1"/>
    <col min="3330" max="3330" width="35.28515625" customWidth="1"/>
    <col min="3585" max="3585" width="77" customWidth="1"/>
    <col min="3586" max="3586" width="35.28515625" customWidth="1"/>
    <col min="3841" max="3841" width="77" customWidth="1"/>
    <col min="3842" max="3842" width="35.28515625" customWidth="1"/>
    <col min="4097" max="4097" width="77" customWidth="1"/>
    <col min="4098" max="4098" width="35.28515625" customWidth="1"/>
    <col min="4353" max="4353" width="77" customWidth="1"/>
    <col min="4354" max="4354" width="35.28515625" customWidth="1"/>
    <col min="4609" max="4609" width="77" customWidth="1"/>
    <col min="4610" max="4610" width="35.28515625" customWidth="1"/>
    <col min="4865" max="4865" width="77" customWidth="1"/>
    <col min="4866" max="4866" width="35.28515625" customWidth="1"/>
    <col min="5121" max="5121" width="77" customWidth="1"/>
    <col min="5122" max="5122" width="35.28515625" customWidth="1"/>
    <col min="5377" max="5377" width="77" customWidth="1"/>
    <col min="5378" max="5378" width="35.28515625" customWidth="1"/>
    <col min="5633" max="5633" width="77" customWidth="1"/>
    <col min="5634" max="5634" width="35.28515625" customWidth="1"/>
    <col min="5889" max="5889" width="77" customWidth="1"/>
    <col min="5890" max="5890" width="35.28515625" customWidth="1"/>
    <col min="6145" max="6145" width="77" customWidth="1"/>
    <col min="6146" max="6146" width="35.28515625" customWidth="1"/>
    <col min="6401" max="6401" width="77" customWidth="1"/>
    <col min="6402" max="6402" width="35.28515625" customWidth="1"/>
    <col min="6657" max="6657" width="77" customWidth="1"/>
    <col min="6658" max="6658" width="35.28515625" customWidth="1"/>
    <col min="6913" max="6913" width="77" customWidth="1"/>
    <col min="6914" max="6914" width="35.28515625" customWidth="1"/>
    <col min="7169" max="7169" width="77" customWidth="1"/>
    <col min="7170" max="7170" width="35.28515625" customWidth="1"/>
    <col min="7425" max="7425" width="77" customWidth="1"/>
    <col min="7426" max="7426" width="35.28515625" customWidth="1"/>
    <col min="7681" max="7681" width="77" customWidth="1"/>
    <col min="7682" max="7682" width="35.28515625" customWidth="1"/>
    <col min="7937" max="7937" width="77" customWidth="1"/>
    <col min="7938" max="7938" width="35.28515625" customWidth="1"/>
    <col min="8193" max="8193" width="77" customWidth="1"/>
    <col min="8194" max="8194" width="35.28515625" customWidth="1"/>
    <col min="8449" max="8449" width="77" customWidth="1"/>
    <col min="8450" max="8450" width="35.28515625" customWidth="1"/>
    <col min="8705" max="8705" width="77" customWidth="1"/>
    <col min="8706" max="8706" width="35.28515625" customWidth="1"/>
    <col min="8961" max="8961" width="77" customWidth="1"/>
    <col min="8962" max="8962" width="35.28515625" customWidth="1"/>
    <col min="9217" max="9217" width="77" customWidth="1"/>
    <col min="9218" max="9218" width="35.28515625" customWidth="1"/>
    <col min="9473" max="9473" width="77" customWidth="1"/>
    <col min="9474" max="9474" width="35.28515625" customWidth="1"/>
    <col min="9729" max="9729" width="77" customWidth="1"/>
    <col min="9730" max="9730" width="35.28515625" customWidth="1"/>
    <col min="9985" max="9985" width="77" customWidth="1"/>
    <col min="9986" max="9986" width="35.28515625" customWidth="1"/>
    <col min="10241" max="10241" width="77" customWidth="1"/>
    <col min="10242" max="10242" width="35.28515625" customWidth="1"/>
    <col min="10497" max="10497" width="77" customWidth="1"/>
    <col min="10498" max="10498" width="35.28515625" customWidth="1"/>
    <col min="10753" max="10753" width="77" customWidth="1"/>
    <col min="10754" max="10754" width="35.28515625" customWidth="1"/>
    <col min="11009" max="11009" width="77" customWidth="1"/>
    <col min="11010" max="11010" width="35.28515625" customWidth="1"/>
    <col min="11265" max="11265" width="77" customWidth="1"/>
    <col min="11266" max="11266" width="35.28515625" customWidth="1"/>
    <col min="11521" max="11521" width="77" customWidth="1"/>
    <col min="11522" max="11522" width="35.28515625" customWidth="1"/>
    <col min="11777" max="11777" width="77" customWidth="1"/>
    <col min="11778" max="11778" width="35.28515625" customWidth="1"/>
    <col min="12033" max="12033" width="77" customWidth="1"/>
    <col min="12034" max="12034" width="35.28515625" customWidth="1"/>
    <col min="12289" max="12289" width="77" customWidth="1"/>
    <col min="12290" max="12290" width="35.28515625" customWidth="1"/>
    <col min="12545" max="12545" width="77" customWidth="1"/>
    <col min="12546" max="12546" width="35.28515625" customWidth="1"/>
    <col min="12801" max="12801" width="77" customWidth="1"/>
    <col min="12802" max="12802" width="35.28515625" customWidth="1"/>
    <col min="13057" max="13057" width="77" customWidth="1"/>
    <col min="13058" max="13058" width="35.28515625" customWidth="1"/>
    <col min="13313" max="13313" width="77" customWidth="1"/>
    <col min="13314" max="13314" width="35.28515625" customWidth="1"/>
    <col min="13569" max="13569" width="77" customWidth="1"/>
    <col min="13570" max="13570" width="35.28515625" customWidth="1"/>
    <col min="13825" max="13825" width="77" customWidth="1"/>
    <col min="13826" max="13826" width="35.28515625" customWidth="1"/>
    <col min="14081" max="14081" width="77" customWidth="1"/>
    <col min="14082" max="14082" width="35.28515625" customWidth="1"/>
    <col min="14337" max="14337" width="77" customWidth="1"/>
    <col min="14338" max="14338" width="35.28515625" customWidth="1"/>
    <col min="14593" max="14593" width="77" customWidth="1"/>
    <col min="14594" max="14594" width="35.28515625" customWidth="1"/>
    <col min="14849" max="14849" width="77" customWidth="1"/>
    <col min="14850" max="14850" width="35.28515625" customWidth="1"/>
    <col min="15105" max="15105" width="77" customWidth="1"/>
    <col min="15106" max="15106" width="35.28515625" customWidth="1"/>
    <col min="15361" max="15361" width="77" customWidth="1"/>
    <col min="15362" max="15362" width="35.28515625" customWidth="1"/>
    <col min="15617" max="15617" width="77" customWidth="1"/>
    <col min="15618" max="15618" width="35.28515625" customWidth="1"/>
    <col min="15873" max="15873" width="77" customWidth="1"/>
    <col min="15874" max="15874" width="35.28515625" customWidth="1"/>
    <col min="16129" max="16129" width="77" customWidth="1"/>
    <col min="16130" max="16130" width="35.28515625" customWidth="1"/>
  </cols>
  <sheetData>
    <row r="1" spans="1:5">
      <c r="A1" s="90" t="s">
        <v>26</v>
      </c>
      <c r="B1" s="90"/>
      <c r="C1" s="90"/>
      <c r="D1" s="90"/>
      <c r="E1" s="90"/>
    </row>
    <row r="3" spans="1:5" ht="15.75" thickBot="1"/>
    <row r="4" spans="1:5" ht="30.75" customHeight="1" thickBot="1">
      <c r="A4" s="74" t="s">
        <v>79</v>
      </c>
      <c r="B4" s="75" t="s">
        <v>80</v>
      </c>
      <c r="C4" s="75" t="s">
        <v>105</v>
      </c>
      <c r="E4">
        <v>2615.9</v>
      </c>
    </row>
    <row r="5" spans="1:5" ht="60" customHeight="1" thickBot="1">
      <c r="A5" s="76" t="s">
        <v>81</v>
      </c>
      <c r="B5" s="110">
        <v>4.01</v>
      </c>
      <c r="C5" s="110">
        <f>B5*E4*12</f>
        <v>125877.10800000001</v>
      </c>
    </row>
    <row r="6" spans="1:5" ht="15.75" thickBot="1">
      <c r="A6" s="77" t="s">
        <v>82</v>
      </c>
      <c r="B6" s="111"/>
      <c r="C6" s="111"/>
    </row>
    <row r="7" spans="1:5" ht="15.75" thickBot="1">
      <c r="A7" s="77" t="s">
        <v>83</v>
      </c>
      <c r="B7" s="111"/>
      <c r="C7" s="111"/>
    </row>
    <row r="8" spans="1:5" ht="15.75" thickBot="1">
      <c r="A8" s="77" t="s">
        <v>84</v>
      </c>
      <c r="B8" s="111"/>
      <c r="C8" s="111"/>
    </row>
    <row r="9" spans="1:5" ht="15.75" thickBot="1">
      <c r="A9" s="77" t="s">
        <v>85</v>
      </c>
      <c r="B9" s="111"/>
      <c r="C9" s="111"/>
    </row>
    <row r="10" spans="1:5" ht="15.75" thickBot="1">
      <c r="A10" s="77" t="s">
        <v>86</v>
      </c>
      <c r="B10" s="111"/>
      <c r="C10" s="111"/>
    </row>
    <row r="11" spans="1:5" ht="15.75" thickBot="1">
      <c r="A11" s="77" t="s">
        <v>87</v>
      </c>
      <c r="B11" s="111"/>
      <c r="C11" s="111"/>
    </row>
    <row r="12" spans="1:5" ht="17.25" customHeight="1" thickBot="1">
      <c r="A12" s="77" t="s">
        <v>88</v>
      </c>
      <c r="B12" s="111"/>
      <c r="C12" s="111"/>
    </row>
    <row r="13" spans="1:5" ht="18" customHeight="1" thickBot="1">
      <c r="A13" s="77" t="s">
        <v>89</v>
      </c>
      <c r="B13" s="111"/>
      <c r="C13" s="111"/>
    </row>
    <row r="14" spans="1:5" ht="15.75" thickBot="1">
      <c r="A14" s="77" t="s">
        <v>90</v>
      </c>
      <c r="B14" s="111"/>
      <c r="C14" s="111"/>
    </row>
    <row r="15" spans="1:5" ht="15.75" thickBot="1">
      <c r="A15" s="77" t="s">
        <v>91</v>
      </c>
      <c r="B15" s="112"/>
      <c r="C15" s="112"/>
    </row>
    <row r="16" spans="1:5" ht="31.5" customHeight="1" thickBot="1">
      <c r="A16" s="76" t="s">
        <v>92</v>
      </c>
      <c r="B16" s="113">
        <v>4.92</v>
      </c>
      <c r="C16" s="113">
        <f>B16*E4*12</f>
        <v>154442.736</v>
      </c>
    </row>
    <row r="17" spans="1:3" ht="15.75" thickBot="1">
      <c r="A17" s="78" t="s">
        <v>93</v>
      </c>
      <c r="B17" s="114"/>
      <c r="C17" s="114"/>
    </row>
    <row r="18" spans="1:3" ht="15.75" thickBot="1">
      <c r="A18" s="78" t="s">
        <v>94</v>
      </c>
      <c r="B18" s="114"/>
      <c r="C18" s="114"/>
    </row>
    <row r="19" spans="1:3" ht="15.75" customHeight="1" thickBot="1">
      <c r="A19" s="77" t="s">
        <v>95</v>
      </c>
      <c r="B19" s="114"/>
      <c r="C19" s="114"/>
    </row>
    <row r="20" spans="1:3" ht="16.5" customHeight="1" thickBot="1">
      <c r="A20" s="77" t="s">
        <v>96</v>
      </c>
      <c r="B20" s="115"/>
      <c r="C20" s="115"/>
    </row>
    <row r="21" spans="1:3" ht="20.25" customHeight="1" thickBot="1">
      <c r="A21" s="76" t="s">
        <v>97</v>
      </c>
      <c r="B21" s="79">
        <v>11.25</v>
      </c>
      <c r="C21" s="79">
        <f>B21*E4*12</f>
        <v>353146.5</v>
      </c>
    </row>
    <row r="22" spans="1:3" ht="15.75" thickBot="1">
      <c r="A22" s="80" t="s">
        <v>98</v>
      </c>
      <c r="B22" s="81">
        <v>1.65</v>
      </c>
      <c r="C22" s="81">
        <f>B22*E4*12</f>
        <v>51794.819999999992</v>
      </c>
    </row>
    <row r="23" spans="1:3" ht="42.75" customHeight="1" thickBot="1">
      <c r="A23" s="82" t="s">
        <v>99</v>
      </c>
      <c r="B23" s="83">
        <v>4.8099999999999996</v>
      </c>
      <c r="C23" s="83">
        <f>B23*E4*12</f>
        <v>150989.74799999999</v>
      </c>
    </row>
    <row r="24" spans="1:3" ht="19.5" customHeight="1">
      <c r="A24" s="106" t="s">
        <v>100</v>
      </c>
      <c r="B24" s="108">
        <v>3.54</v>
      </c>
      <c r="C24" s="108">
        <f>B24*E4*12</f>
        <v>111123.432</v>
      </c>
    </row>
    <row r="25" spans="1:3" ht="15.75" hidden="1" customHeight="1">
      <c r="A25" s="107"/>
      <c r="B25" s="109"/>
      <c r="C25" s="109"/>
    </row>
    <row r="26" spans="1:3" ht="15.75" thickBot="1">
      <c r="A26" s="82" t="s">
        <v>101</v>
      </c>
      <c r="B26" s="81">
        <v>1.25</v>
      </c>
      <c r="C26" s="81">
        <f>B26*E4*12</f>
        <v>39238.5</v>
      </c>
    </row>
    <row r="27" spans="1:3" ht="15.75" thickBot="1">
      <c r="A27" s="84" t="s">
        <v>102</v>
      </c>
      <c r="B27" s="85">
        <v>20.18</v>
      </c>
      <c r="C27" s="85">
        <f>C26+C24+C23+C22+C16+C5</f>
        <v>633466.34400000004</v>
      </c>
    </row>
    <row r="28" spans="1:3" ht="15.75" thickBot="1">
      <c r="A28" s="86" t="s">
        <v>103</v>
      </c>
      <c r="B28" s="87">
        <v>2.02</v>
      </c>
      <c r="C28" s="87">
        <f>B28*E4*12</f>
        <v>63409.416000000005</v>
      </c>
    </row>
    <row r="29" spans="1:3" ht="15.75" thickBot="1">
      <c r="A29" s="84" t="s">
        <v>104</v>
      </c>
      <c r="B29" s="88">
        <v>22.2</v>
      </c>
      <c r="C29" s="88">
        <f>C28+C27</f>
        <v>696875.76</v>
      </c>
    </row>
    <row r="30" spans="1:3">
      <c r="A30" s="89"/>
    </row>
  </sheetData>
  <mergeCells count="8">
    <mergeCell ref="A1:E1"/>
    <mergeCell ref="B5:B15"/>
    <mergeCell ref="B16:B20"/>
    <mergeCell ref="A24:A25"/>
    <mergeCell ref="B24:B25"/>
    <mergeCell ref="C5:C15"/>
    <mergeCell ref="C16:C20"/>
    <mergeCell ref="C24:C25"/>
  </mergeCells>
  <phoneticPr fontId="6" type="noConversion"/>
  <pageMargins left="0.75" right="0.75" top="1" bottom="1" header="0.5" footer="0.5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30"/>
  <sheetViews>
    <sheetView workbookViewId="0">
      <selection activeCell="E2" sqref="E1:E1048576"/>
    </sheetView>
  </sheetViews>
  <sheetFormatPr defaultRowHeight="15"/>
  <cols>
    <col min="1" max="1" width="77" customWidth="1"/>
    <col min="2" max="2" width="15.7109375" customWidth="1"/>
    <col min="3" max="3" width="15.28515625" customWidth="1"/>
    <col min="5" max="5" width="0" hidden="1" customWidth="1"/>
    <col min="257" max="257" width="77" customWidth="1"/>
    <col min="258" max="258" width="35.28515625" customWidth="1"/>
    <col min="513" max="513" width="77" customWidth="1"/>
    <col min="514" max="514" width="35.28515625" customWidth="1"/>
    <col min="769" max="769" width="77" customWidth="1"/>
    <col min="770" max="770" width="35.28515625" customWidth="1"/>
    <col min="1025" max="1025" width="77" customWidth="1"/>
    <col min="1026" max="1026" width="35.28515625" customWidth="1"/>
    <col min="1281" max="1281" width="77" customWidth="1"/>
    <col min="1282" max="1282" width="35.28515625" customWidth="1"/>
    <col min="1537" max="1537" width="77" customWidth="1"/>
    <col min="1538" max="1538" width="35.28515625" customWidth="1"/>
    <col min="1793" max="1793" width="77" customWidth="1"/>
    <col min="1794" max="1794" width="35.28515625" customWidth="1"/>
    <col min="2049" max="2049" width="77" customWidth="1"/>
    <col min="2050" max="2050" width="35.28515625" customWidth="1"/>
    <col min="2305" max="2305" width="77" customWidth="1"/>
    <col min="2306" max="2306" width="35.28515625" customWidth="1"/>
    <col min="2561" max="2561" width="77" customWidth="1"/>
    <col min="2562" max="2562" width="35.28515625" customWidth="1"/>
    <col min="2817" max="2817" width="77" customWidth="1"/>
    <col min="2818" max="2818" width="35.28515625" customWidth="1"/>
    <col min="3073" max="3073" width="77" customWidth="1"/>
    <col min="3074" max="3074" width="35.28515625" customWidth="1"/>
    <col min="3329" max="3329" width="77" customWidth="1"/>
    <col min="3330" max="3330" width="35.28515625" customWidth="1"/>
    <col min="3585" max="3585" width="77" customWidth="1"/>
    <col min="3586" max="3586" width="35.28515625" customWidth="1"/>
    <col min="3841" max="3841" width="77" customWidth="1"/>
    <col min="3842" max="3842" width="35.28515625" customWidth="1"/>
    <col min="4097" max="4097" width="77" customWidth="1"/>
    <col min="4098" max="4098" width="35.28515625" customWidth="1"/>
    <col min="4353" max="4353" width="77" customWidth="1"/>
    <col min="4354" max="4354" width="35.28515625" customWidth="1"/>
    <col min="4609" max="4609" width="77" customWidth="1"/>
    <col min="4610" max="4610" width="35.28515625" customWidth="1"/>
    <col min="4865" max="4865" width="77" customWidth="1"/>
    <col min="4866" max="4866" width="35.28515625" customWidth="1"/>
    <col min="5121" max="5121" width="77" customWidth="1"/>
    <col min="5122" max="5122" width="35.28515625" customWidth="1"/>
    <col min="5377" max="5377" width="77" customWidth="1"/>
    <col min="5378" max="5378" width="35.28515625" customWidth="1"/>
    <col min="5633" max="5633" width="77" customWidth="1"/>
    <col min="5634" max="5634" width="35.28515625" customWidth="1"/>
    <col min="5889" max="5889" width="77" customWidth="1"/>
    <col min="5890" max="5890" width="35.28515625" customWidth="1"/>
    <col min="6145" max="6145" width="77" customWidth="1"/>
    <col min="6146" max="6146" width="35.28515625" customWidth="1"/>
    <col min="6401" max="6401" width="77" customWidth="1"/>
    <col min="6402" max="6402" width="35.28515625" customWidth="1"/>
    <col min="6657" max="6657" width="77" customWidth="1"/>
    <col min="6658" max="6658" width="35.28515625" customWidth="1"/>
    <col min="6913" max="6913" width="77" customWidth="1"/>
    <col min="6914" max="6914" width="35.28515625" customWidth="1"/>
    <col min="7169" max="7169" width="77" customWidth="1"/>
    <col min="7170" max="7170" width="35.28515625" customWidth="1"/>
    <col min="7425" max="7425" width="77" customWidth="1"/>
    <col min="7426" max="7426" width="35.28515625" customWidth="1"/>
    <col min="7681" max="7681" width="77" customWidth="1"/>
    <col min="7682" max="7682" width="35.28515625" customWidth="1"/>
    <col min="7937" max="7937" width="77" customWidth="1"/>
    <col min="7938" max="7938" width="35.28515625" customWidth="1"/>
    <col min="8193" max="8193" width="77" customWidth="1"/>
    <col min="8194" max="8194" width="35.28515625" customWidth="1"/>
    <col min="8449" max="8449" width="77" customWidth="1"/>
    <col min="8450" max="8450" width="35.28515625" customWidth="1"/>
    <col min="8705" max="8705" width="77" customWidth="1"/>
    <col min="8706" max="8706" width="35.28515625" customWidth="1"/>
    <col min="8961" max="8961" width="77" customWidth="1"/>
    <col min="8962" max="8962" width="35.28515625" customWidth="1"/>
    <col min="9217" max="9217" width="77" customWidth="1"/>
    <col min="9218" max="9218" width="35.28515625" customWidth="1"/>
    <col min="9473" max="9473" width="77" customWidth="1"/>
    <col min="9474" max="9474" width="35.28515625" customWidth="1"/>
    <col min="9729" max="9729" width="77" customWidth="1"/>
    <col min="9730" max="9730" width="35.28515625" customWidth="1"/>
    <col min="9985" max="9985" width="77" customWidth="1"/>
    <col min="9986" max="9986" width="35.28515625" customWidth="1"/>
    <col min="10241" max="10241" width="77" customWidth="1"/>
    <col min="10242" max="10242" width="35.28515625" customWidth="1"/>
    <col min="10497" max="10497" width="77" customWidth="1"/>
    <col min="10498" max="10498" width="35.28515625" customWidth="1"/>
    <col min="10753" max="10753" width="77" customWidth="1"/>
    <col min="10754" max="10754" width="35.28515625" customWidth="1"/>
    <col min="11009" max="11009" width="77" customWidth="1"/>
    <col min="11010" max="11010" width="35.28515625" customWidth="1"/>
    <col min="11265" max="11265" width="77" customWidth="1"/>
    <col min="11266" max="11266" width="35.28515625" customWidth="1"/>
    <col min="11521" max="11521" width="77" customWidth="1"/>
    <col min="11522" max="11522" width="35.28515625" customWidth="1"/>
    <col min="11777" max="11777" width="77" customWidth="1"/>
    <col min="11778" max="11778" width="35.28515625" customWidth="1"/>
    <col min="12033" max="12033" width="77" customWidth="1"/>
    <col min="12034" max="12034" width="35.28515625" customWidth="1"/>
    <col min="12289" max="12289" width="77" customWidth="1"/>
    <col min="12290" max="12290" width="35.28515625" customWidth="1"/>
    <col min="12545" max="12545" width="77" customWidth="1"/>
    <col min="12546" max="12546" width="35.28515625" customWidth="1"/>
    <col min="12801" max="12801" width="77" customWidth="1"/>
    <col min="12802" max="12802" width="35.28515625" customWidth="1"/>
    <col min="13057" max="13057" width="77" customWidth="1"/>
    <col min="13058" max="13058" width="35.28515625" customWidth="1"/>
    <col min="13313" max="13313" width="77" customWidth="1"/>
    <col min="13314" max="13314" width="35.28515625" customWidth="1"/>
    <col min="13569" max="13569" width="77" customWidth="1"/>
    <col min="13570" max="13570" width="35.28515625" customWidth="1"/>
    <col min="13825" max="13825" width="77" customWidth="1"/>
    <col min="13826" max="13826" width="35.28515625" customWidth="1"/>
    <col min="14081" max="14081" width="77" customWidth="1"/>
    <col min="14082" max="14082" width="35.28515625" customWidth="1"/>
    <col min="14337" max="14337" width="77" customWidth="1"/>
    <col min="14338" max="14338" width="35.28515625" customWidth="1"/>
    <col min="14593" max="14593" width="77" customWidth="1"/>
    <col min="14594" max="14594" width="35.28515625" customWidth="1"/>
    <col min="14849" max="14849" width="77" customWidth="1"/>
    <col min="14850" max="14850" width="35.28515625" customWidth="1"/>
    <col min="15105" max="15105" width="77" customWidth="1"/>
    <col min="15106" max="15106" width="35.28515625" customWidth="1"/>
    <col min="15361" max="15361" width="77" customWidth="1"/>
    <col min="15362" max="15362" width="35.28515625" customWidth="1"/>
    <col min="15617" max="15617" width="77" customWidth="1"/>
    <col min="15618" max="15618" width="35.28515625" customWidth="1"/>
    <col min="15873" max="15873" width="77" customWidth="1"/>
    <col min="15874" max="15874" width="35.28515625" customWidth="1"/>
    <col min="16129" max="16129" width="77" customWidth="1"/>
    <col min="16130" max="16130" width="35.28515625" customWidth="1"/>
  </cols>
  <sheetData>
    <row r="1" spans="1:5">
      <c r="A1" s="90" t="s">
        <v>26</v>
      </c>
      <c r="B1" s="90"/>
      <c r="C1" s="90"/>
      <c r="D1" s="90"/>
      <c r="E1" s="90"/>
    </row>
    <row r="3" spans="1:5" ht="15.75" thickBot="1"/>
    <row r="4" spans="1:5" ht="30.75" customHeight="1" thickBot="1">
      <c r="A4" s="74" t="s">
        <v>79</v>
      </c>
      <c r="B4" s="75" t="s">
        <v>80</v>
      </c>
      <c r="C4" s="75" t="s">
        <v>105</v>
      </c>
      <c r="E4">
        <v>2179.9</v>
      </c>
    </row>
    <row r="5" spans="1:5" ht="60" customHeight="1" thickBot="1">
      <c r="A5" s="76" t="s">
        <v>81</v>
      </c>
      <c r="B5" s="110">
        <v>4.01</v>
      </c>
      <c r="C5" s="110">
        <f>B5*E4*12</f>
        <v>104896.788</v>
      </c>
    </row>
    <row r="6" spans="1:5" ht="15.75" thickBot="1">
      <c r="A6" s="77" t="s">
        <v>82</v>
      </c>
      <c r="B6" s="111"/>
      <c r="C6" s="111"/>
    </row>
    <row r="7" spans="1:5" ht="15.75" thickBot="1">
      <c r="A7" s="77" t="s">
        <v>83</v>
      </c>
      <c r="B7" s="111"/>
      <c r="C7" s="111"/>
    </row>
    <row r="8" spans="1:5" ht="15.75" thickBot="1">
      <c r="A8" s="77" t="s">
        <v>84</v>
      </c>
      <c r="B8" s="111"/>
      <c r="C8" s="111"/>
    </row>
    <row r="9" spans="1:5" ht="15.75" thickBot="1">
      <c r="A9" s="77" t="s">
        <v>85</v>
      </c>
      <c r="B9" s="111"/>
      <c r="C9" s="111"/>
    </row>
    <row r="10" spans="1:5" ht="15.75" thickBot="1">
      <c r="A10" s="77" t="s">
        <v>86</v>
      </c>
      <c r="B10" s="111"/>
      <c r="C10" s="111"/>
    </row>
    <row r="11" spans="1:5" ht="15.75" thickBot="1">
      <c r="A11" s="77" t="s">
        <v>87</v>
      </c>
      <c r="B11" s="111"/>
      <c r="C11" s="111"/>
    </row>
    <row r="12" spans="1:5" ht="17.25" customHeight="1" thickBot="1">
      <c r="A12" s="77" t="s">
        <v>88</v>
      </c>
      <c r="B12" s="111"/>
      <c r="C12" s="111"/>
    </row>
    <row r="13" spans="1:5" ht="18" customHeight="1" thickBot="1">
      <c r="A13" s="77" t="s">
        <v>89</v>
      </c>
      <c r="B13" s="111"/>
      <c r="C13" s="111"/>
    </row>
    <row r="14" spans="1:5" ht="15.75" thickBot="1">
      <c r="A14" s="77" t="s">
        <v>90</v>
      </c>
      <c r="B14" s="111"/>
      <c r="C14" s="111"/>
    </row>
    <row r="15" spans="1:5" ht="15.75" thickBot="1">
      <c r="A15" s="77" t="s">
        <v>91</v>
      </c>
      <c r="B15" s="112"/>
      <c r="C15" s="112"/>
    </row>
    <row r="16" spans="1:5" ht="31.5" customHeight="1" thickBot="1">
      <c r="A16" s="76" t="s">
        <v>92</v>
      </c>
      <c r="B16" s="113">
        <v>4.92</v>
      </c>
      <c r="C16" s="113">
        <f>B16*E4*12</f>
        <v>128701.296</v>
      </c>
    </row>
    <row r="17" spans="1:3" ht="15.75" thickBot="1">
      <c r="A17" s="78" t="s">
        <v>93</v>
      </c>
      <c r="B17" s="114"/>
      <c r="C17" s="114"/>
    </row>
    <row r="18" spans="1:3" ht="15.75" thickBot="1">
      <c r="A18" s="78" t="s">
        <v>94</v>
      </c>
      <c r="B18" s="114"/>
      <c r="C18" s="114"/>
    </row>
    <row r="19" spans="1:3" ht="15.75" customHeight="1" thickBot="1">
      <c r="A19" s="77" t="s">
        <v>95</v>
      </c>
      <c r="B19" s="114"/>
      <c r="C19" s="114"/>
    </row>
    <row r="20" spans="1:3" ht="16.5" customHeight="1" thickBot="1">
      <c r="A20" s="77" t="s">
        <v>96</v>
      </c>
      <c r="B20" s="115"/>
      <c r="C20" s="115"/>
    </row>
    <row r="21" spans="1:3" ht="20.25" customHeight="1" thickBot="1">
      <c r="A21" s="76" t="s">
        <v>97</v>
      </c>
      <c r="B21" s="79">
        <v>11.25</v>
      </c>
      <c r="C21" s="79">
        <f>B21*E4*12</f>
        <v>294286.5</v>
      </c>
    </row>
    <row r="22" spans="1:3" ht="15.75" thickBot="1">
      <c r="A22" s="80" t="s">
        <v>98</v>
      </c>
      <c r="B22" s="81">
        <v>1.65</v>
      </c>
      <c r="C22" s="81">
        <f>B22*E4*12</f>
        <v>43162.020000000004</v>
      </c>
    </row>
    <row r="23" spans="1:3" ht="42.75" customHeight="1" thickBot="1">
      <c r="A23" s="82" t="s">
        <v>99</v>
      </c>
      <c r="B23" s="83">
        <v>4.8099999999999996</v>
      </c>
      <c r="C23" s="83">
        <f>B23*E4*12</f>
        <v>125823.82799999999</v>
      </c>
    </row>
    <row r="24" spans="1:3" ht="19.5" customHeight="1">
      <c r="A24" s="106" t="s">
        <v>100</v>
      </c>
      <c r="B24" s="108">
        <v>3.54</v>
      </c>
      <c r="C24" s="108">
        <f>B24*E4*12</f>
        <v>92602.152000000002</v>
      </c>
    </row>
    <row r="25" spans="1:3" ht="15.75" hidden="1" customHeight="1">
      <c r="A25" s="107"/>
      <c r="B25" s="109"/>
      <c r="C25" s="109"/>
    </row>
    <row r="26" spans="1:3" ht="15.75" thickBot="1">
      <c r="A26" s="82" t="s">
        <v>101</v>
      </c>
      <c r="B26" s="81">
        <v>1.25</v>
      </c>
      <c r="C26" s="81">
        <f>B26*E4*12</f>
        <v>32698.5</v>
      </c>
    </row>
    <row r="27" spans="1:3" ht="15.75" thickBot="1">
      <c r="A27" s="84" t="s">
        <v>102</v>
      </c>
      <c r="B27" s="85">
        <v>20.18</v>
      </c>
      <c r="C27" s="85">
        <f>C26+C24+C23+C22+C16+C5</f>
        <v>527884.58400000003</v>
      </c>
    </row>
    <row r="28" spans="1:3" ht="15.75" thickBot="1">
      <c r="A28" s="86" t="s">
        <v>103</v>
      </c>
      <c r="B28" s="87">
        <v>2.02</v>
      </c>
      <c r="C28" s="87">
        <f>B28*E4*12</f>
        <v>52840.775999999998</v>
      </c>
    </row>
    <row r="29" spans="1:3" ht="15.75" thickBot="1">
      <c r="A29" s="84" t="s">
        <v>104</v>
      </c>
      <c r="B29" s="88">
        <v>22.2</v>
      </c>
      <c r="C29" s="88">
        <f>C28+C27</f>
        <v>580725.36</v>
      </c>
    </row>
    <row r="30" spans="1:3">
      <c r="A30" s="89"/>
    </row>
  </sheetData>
  <mergeCells count="8">
    <mergeCell ref="A1:E1"/>
    <mergeCell ref="B5:B15"/>
    <mergeCell ref="B16:B20"/>
    <mergeCell ref="A24:A25"/>
    <mergeCell ref="B24:B25"/>
    <mergeCell ref="C5:C15"/>
    <mergeCell ref="C16:C20"/>
    <mergeCell ref="C24:C25"/>
  </mergeCells>
  <phoneticPr fontId="6" type="noConversion"/>
  <pageMargins left="0.75" right="0.75" top="1" bottom="1" header="0.5" footer="0.5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30"/>
  <sheetViews>
    <sheetView workbookViewId="0">
      <selection activeCell="E2" sqref="E1:E1048576"/>
    </sheetView>
  </sheetViews>
  <sheetFormatPr defaultRowHeight="15"/>
  <cols>
    <col min="1" max="1" width="77" customWidth="1"/>
    <col min="2" max="2" width="15.7109375" customWidth="1"/>
    <col min="3" max="3" width="15.28515625" customWidth="1"/>
    <col min="5" max="5" width="0" hidden="1" customWidth="1"/>
    <col min="257" max="257" width="77" customWidth="1"/>
    <col min="258" max="258" width="35.28515625" customWidth="1"/>
    <col min="513" max="513" width="77" customWidth="1"/>
    <col min="514" max="514" width="35.28515625" customWidth="1"/>
    <col min="769" max="769" width="77" customWidth="1"/>
    <col min="770" max="770" width="35.28515625" customWidth="1"/>
    <col min="1025" max="1025" width="77" customWidth="1"/>
    <col min="1026" max="1026" width="35.28515625" customWidth="1"/>
    <col min="1281" max="1281" width="77" customWidth="1"/>
    <col min="1282" max="1282" width="35.28515625" customWidth="1"/>
    <col min="1537" max="1537" width="77" customWidth="1"/>
    <col min="1538" max="1538" width="35.28515625" customWidth="1"/>
    <col min="1793" max="1793" width="77" customWidth="1"/>
    <col min="1794" max="1794" width="35.28515625" customWidth="1"/>
    <col min="2049" max="2049" width="77" customWidth="1"/>
    <col min="2050" max="2050" width="35.28515625" customWidth="1"/>
    <col min="2305" max="2305" width="77" customWidth="1"/>
    <col min="2306" max="2306" width="35.28515625" customWidth="1"/>
    <col min="2561" max="2561" width="77" customWidth="1"/>
    <col min="2562" max="2562" width="35.28515625" customWidth="1"/>
    <col min="2817" max="2817" width="77" customWidth="1"/>
    <col min="2818" max="2818" width="35.28515625" customWidth="1"/>
    <col min="3073" max="3073" width="77" customWidth="1"/>
    <col min="3074" max="3074" width="35.28515625" customWidth="1"/>
    <col min="3329" max="3329" width="77" customWidth="1"/>
    <col min="3330" max="3330" width="35.28515625" customWidth="1"/>
    <col min="3585" max="3585" width="77" customWidth="1"/>
    <col min="3586" max="3586" width="35.28515625" customWidth="1"/>
    <col min="3841" max="3841" width="77" customWidth="1"/>
    <col min="3842" max="3842" width="35.28515625" customWidth="1"/>
    <col min="4097" max="4097" width="77" customWidth="1"/>
    <col min="4098" max="4098" width="35.28515625" customWidth="1"/>
    <col min="4353" max="4353" width="77" customWidth="1"/>
    <col min="4354" max="4354" width="35.28515625" customWidth="1"/>
    <col min="4609" max="4609" width="77" customWidth="1"/>
    <col min="4610" max="4610" width="35.28515625" customWidth="1"/>
    <col min="4865" max="4865" width="77" customWidth="1"/>
    <col min="4866" max="4866" width="35.28515625" customWidth="1"/>
    <col min="5121" max="5121" width="77" customWidth="1"/>
    <col min="5122" max="5122" width="35.28515625" customWidth="1"/>
    <col min="5377" max="5377" width="77" customWidth="1"/>
    <col min="5378" max="5378" width="35.28515625" customWidth="1"/>
    <col min="5633" max="5633" width="77" customWidth="1"/>
    <col min="5634" max="5634" width="35.28515625" customWidth="1"/>
    <col min="5889" max="5889" width="77" customWidth="1"/>
    <col min="5890" max="5890" width="35.28515625" customWidth="1"/>
    <col min="6145" max="6145" width="77" customWidth="1"/>
    <col min="6146" max="6146" width="35.28515625" customWidth="1"/>
    <col min="6401" max="6401" width="77" customWidth="1"/>
    <col min="6402" max="6402" width="35.28515625" customWidth="1"/>
    <col min="6657" max="6657" width="77" customWidth="1"/>
    <col min="6658" max="6658" width="35.28515625" customWidth="1"/>
    <col min="6913" max="6913" width="77" customWidth="1"/>
    <col min="6914" max="6914" width="35.28515625" customWidth="1"/>
    <col min="7169" max="7169" width="77" customWidth="1"/>
    <col min="7170" max="7170" width="35.28515625" customWidth="1"/>
    <col min="7425" max="7425" width="77" customWidth="1"/>
    <col min="7426" max="7426" width="35.28515625" customWidth="1"/>
    <col min="7681" max="7681" width="77" customWidth="1"/>
    <col min="7682" max="7682" width="35.28515625" customWidth="1"/>
    <col min="7937" max="7937" width="77" customWidth="1"/>
    <col min="7938" max="7938" width="35.28515625" customWidth="1"/>
    <col min="8193" max="8193" width="77" customWidth="1"/>
    <col min="8194" max="8194" width="35.28515625" customWidth="1"/>
    <col min="8449" max="8449" width="77" customWidth="1"/>
    <col min="8450" max="8450" width="35.28515625" customWidth="1"/>
    <col min="8705" max="8705" width="77" customWidth="1"/>
    <col min="8706" max="8706" width="35.28515625" customWidth="1"/>
    <col min="8961" max="8961" width="77" customWidth="1"/>
    <col min="8962" max="8962" width="35.28515625" customWidth="1"/>
    <col min="9217" max="9217" width="77" customWidth="1"/>
    <col min="9218" max="9218" width="35.28515625" customWidth="1"/>
    <col min="9473" max="9473" width="77" customWidth="1"/>
    <col min="9474" max="9474" width="35.28515625" customWidth="1"/>
    <col min="9729" max="9729" width="77" customWidth="1"/>
    <col min="9730" max="9730" width="35.28515625" customWidth="1"/>
    <col min="9985" max="9985" width="77" customWidth="1"/>
    <col min="9986" max="9986" width="35.28515625" customWidth="1"/>
    <col min="10241" max="10241" width="77" customWidth="1"/>
    <col min="10242" max="10242" width="35.28515625" customWidth="1"/>
    <col min="10497" max="10497" width="77" customWidth="1"/>
    <col min="10498" max="10498" width="35.28515625" customWidth="1"/>
    <col min="10753" max="10753" width="77" customWidth="1"/>
    <col min="10754" max="10754" width="35.28515625" customWidth="1"/>
    <col min="11009" max="11009" width="77" customWidth="1"/>
    <col min="11010" max="11010" width="35.28515625" customWidth="1"/>
    <col min="11265" max="11265" width="77" customWidth="1"/>
    <col min="11266" max="11266" width="35.28515625" customWidth="1"/>
    <col min="11521" max="11521" width="77" customWidth="1"/>
    <col min="11522" max="11522" width="35.28515625" customWidth="1"/>
    <col min="11777" max="11777" width="77" customWidth="1"/>
    <col min="11778" max="11778" width="35.28515625" customWidth="1"/>
    <col min="12033" max="12033" width="77" customWidth="1"/>
    <col min="12034" max="12034" width="35.28515625" customWidth="1"/>
    <col min="12289" max="12289" width="77" customWidth="1"/>
    <col min="12290" max="12290" width="35.28515625" customWidth="1"/>
    <col min="12545" max="12545" width="77" customWidth="1"/>
    <col min="12546" max="12546" width="35.28515625" customWidth="1"/>
    <col min="12801" max="12801" width="77" customWidth="1"/>
    <col min="12802" max="12802" width="35.28515625" customWidth="1"/>
    <col min="13057" max="13057" width="77" customWidth="1"/>
    <col min="13058" max="13058" width="35.28515625" customWidth="1"/>
    <col min="13313" max="13313" width="77" customWidth="1"/>
    <col min="13314" max="13314" width="35.28515625" customWidth="1"/>
    <col min="13569" max="13569" width="77" customWidth="1"/>
    <col min="13570" max="13570" width="35.28515625" customWidth="1"/>
    <col min="13825" max="13825" width="77" customWidth="1"/>
    <col min="13826" max="13826" width="35.28515625" customWidth="1"/>
    <col min="14081" max="14081" width="77" customWidth="1"/>
    <col min="14082" max="14082" width="35.28515625" customWidth="1"/>
    <col min="14337" max="14337" width="77" customWidth="1"/>
    <col min="14338" max="14338" width="35.28515625" customWidth="1"/>
    <col min="14593" max="14593" width="77" customWidth="1"/>
    <col min="14594" max="14594" width="35.28515625" customWidth="1"/>
    <col min="14849" max="14849" width="77" customWidth="1"/>
    <col min="14850" max="14850" width="35.28515625" customWidth="1"/>
    <col min="15105" max="15105" width="77" customWidth="1"/>
    <col min="15106" max="15106" width="35.28515625" customWidth="1"/>
    <col min="15361" max="15361" width="77" customWidth="1"/>
    <col min="15362" max="15362" width="35.28515625" customWidth="1"/>
    <col min="15617" max="15617" width="77" customWidth="1"/>
    <col min="15618" max="15618" width="35.28515625" customWidth="1"/>
    <col min="15873" max="15873" width="77" customWidth="1"/>
    <col min="15874" max="15874" width="35.28515625" customWidth="1"/>
    <col min="16129" max="16129" width="77" customWidth="1"/>
    <col min="16130" max="16130" width="35.28515625" customWidth="1"/>
  </cols>
  <sheetData>
    <row r="1" spans="1:5">
      <c r="A1" s="90" t="s">
        <v>26</v>
      </c>
      <c r="B1" s="90"/>
      <c r="C1" s="90"/>
      <c r="D1" s="90"/>
      <c r="E1" s="90"/>
    </row>
    <row r="3" spans="1:5" ht="15.75" thickBot="1"/>
    <row r="4" spans="1:5" ht="30.75" customHeight="1" thickBot="1">
      <c r="A4" s="74" t="s">
        <v>79</v>
      </c>
      <c r="B4" s="75" t="s">
        <v>80</v>
      </c>
      <c r="C4" s="75" t="s">
        <v>105</v>
      </c>
      <c r="E4">
        <v>2135.6999999999998</v>
      </c>
    </row>
    <row r="5" spans="1:5" ht="60" customHeight="1" thickBot="1">
      <c r="A5" s="76" t="s">
        <v>81</v>
      </c>
      <c r="B5" s="110">
        <v>4.01</v>
      </c>
      <c r="C5" s="110">
        <f>B5*E4*12</f>
        <v>102769.88399999999</v>
      </c>
    </row>
    <row r="6" spans="1:5" ht="15.75" thickBot="1">
      <c r="A6" s="77" t="s">
        <v>82</v>
      </c>
      <c r="B6" s="111"/>
      <c r="C6" s="111"/>
    </row>
    <row r="7" spans="1:5" ht="15.75" thickBot="1">
      <c r="A7" s="77" t="s">
        <v>83</v>
      </c>
      <c r="B7" s="111"/>
      <c r="C7" s="111"/>
    </row>
    <row r="8" spans="1:5" ht="15.75" thickBot="1">
      <c r="A8" s="77" t="s">
        <v>84</v>
      </c>
      <c r="B8" s="111"/>
      <c r="C8" s="111"/>
    </row>
    <row r="9" spans="1:5" ht="15.75" thickBot="1">
      <c r="A9" s="77" t="s">
        <v>85</v>
      </c>
      <c r="B9" s="111"/>
      <c r="C9" s="111"/>
    </row>
    <row r="10" spans="1:5" ht="15.75" thickBot="1">
      <c r="A10" s="77" t="s">
        <v>86</v>
      </c>
      <c r="B10" s="111"/>
      <c r="C10" s="111"/>
    </row>
    <row r="11" spans="1:5" ht="15.75" thickBot="1">
      <c r="A11" s="77" t="s">
        <v>87</v>
      </c>
      <c r="B11" s="111"/>
      <c r="C11" s="111"/>
    </row>
    <row r="12" spans="1:5" ht="17.25" customHeight="1" thickBot="1">
      <c r="A12" s="77" t="s">
        <v>88</v>
      </c>
      <c r="B12" s="111"/>
      <c r="C12" s="111"/>
    </row>
    <row r="13" spans="1:5" ht="18" customHeight="1" thickBot="1">
      <c r="A13" s="77" t="s">
        <v>89</v>
      </c>
      <c r="B13" s="111"/>
      <c r="C13" s="111"/>
    </row>
    <row r="14" spans="1:5" ht="15.75" thickBot="1">
      <c r="A14" s="77" t="s">
        <v>90</v>
      </c>
      <c r="B14" s="111"/>
      <c r="C14" s="111"/>
    </row>
    <row r="15" spans="1:5" ht="15.75" thickBot="1">
      <c r="A15" s="77" t="s">
        <v>91</v>
      </c>
      <c r="B15" s="112"/>
      <c r="C15" s="112"/>
    </row>
    <row r="16" spans="1:5" ht="31.5" customHeight="1" thickBot="1">
      <c r="A16" s="76" t="s">
        <v>92</v>
      </c>
      <c r="B16" s="113">
        <v>4.92</v>
      </c>
      <c r="C16" s="113">
        <f>B16*E4*12</f>
        <v>126091.72799999997</v>
      </c>
    </row>
    <row r="17" spans="1:3" ht="15.75" thickBot="1">
      <c r="A17" s="78" t="s">
        <v>93</v>
      </c>
      <c r="B17" s="114"/>
      <c r="C17" s="114"/>
    </row>
    <row r="18" spans="1:3" ht="15.75" thickBot="1">
      <c r="A18" s="78" t="s">
        <v>94</v>
      </c>
      <c r="B18" s="114"/>
      <c r="C18" s="114"/>
    </row>
    <row r="19" spans="1:3" ht="15.75" customHeight="1" thickBot="1">
      <c r="A19" s="77" t="s">
        <v>95</v>
      </c>
      <c r="B19" s="114"/>
      <c r="C19" s="114"/>
    </row>
    <row r="20" spans="1:3" ht="16.5" customHeight="1" thickBot="1">
      <c r="A20" s="77" t="s">
        <v>96</v>
      </c>
      <c r="B20" s="115"/>
      <c r="C20" s="115"/>
    </row>
    <row r="21" spans="1:3" ht="20.25" customHeight="1" thickBot="1">
      <c r="A21" s="76" t="s">
        <v>97</v>
      </c>
      <c r="B21" s="79">
        <v>11.25</v>
      </c>
      <c r="C21" s="79">
        <f>B21*E4*12</f>
        <v>288319.49999999994</v>
      </c>
    </row>
    <row r="22" spans="1:3" ht="15.75" thickBot="1">
      <c r="A22" s="80" t="s">
        <v>98</v>
      </c>
      <c r="B22" s="81">
        <v>1.65</v>
      </c>
      <c r="C22" s="81">
        <f>B22*E4*12</f>
        <v>42286.859999999993</v>
      </c>
    </row>
    <row r="23" spans="1:3" ht="42.75" customHeight="1" thickBot="1">
      <c r="A23" s="82" t="s">
        <v>99</v>
      </c>
      <c r="B23" s="83">
        <v>4.8099999999999996</v>
      </c>
      <c r="C23" s="83">
        <f>B23*E4*12</f>
        <v>123272.60399999999</v>
      </c>
    </row>
    <row r="24" spans="1:3" ht="19.5" customHeight="1">
      <c r="A24" s="106" t="s">
        <v>100</v>
      </c>
      <c r="B24" s="108">
        <v>3.54</v>
      </c>
      <c r="C24" s="108">
        <f>B24*E4*12</f>
        <v>90724.535999999993</v>
      </c>
    </row>
    <row r="25" spans="1:3" ht="15.75" hidden="1" customHeight="1">
      <c r="A25" s="107"/>
      <c r="B25" s="109"/>
      <c r="C25" s="109"/>
    </row>
    <row r="26" spans="1:3" ht="15.75" thickBot="1">
      <c r="A26" s="82" t="s">
        <v>101</v>
      </c>
      <c r="B26" s="81">
        <v>1.25</v>
      </c>
      <c r="C26" s="81">
        <f>B26*E4*12</f>
        <v>32035.5</v>
      </c>
    </row>
    <row r="27" spans="1:3" ht="15.75" thickBot="1">
      <c r="A27" s="84" t="s">
        <v>102</v>
      </c>
      <c r="B27" s="85">
        <v>20.18</v>
      </c>
      <c r="C27" s="85">
        <f>C26+C24+C23+C22+C16+C5</f>
        <v>517181.11199999996</v>
      </c>
    </row>
    <row r="28" spans="1:3" ht="15.75" thickBot="1">
      <c r="A28" s="86" t="s">
        <v>103</v>
      </c>
      <c r="B28" s="87">
        <v>2.02</v>
      </c>
      <c r="C28" s="87">
        <f>B28*E4*12</f>
        <v>51769.367999999995</v>
      </c>
    </row>
    <row r="29" spans="1:3" ht="15.75" thickBot="1">
      <c r="A29" s="84" t="s">
        <v>104</v>
      </c>
      <c r="B29" s="88">
        <v>22.2</v>
      </c>
      <c r="C29" s="88">
        <f>C28+C27</f>
        <v>568950.48</v>
      </c>
    </row>
    <row r="30" spans="1:3">
      <c r="A30" s="89"/>
    </row>
  </sheetData>
  <mergeCells count="8">
    <mergeCell ref="A1:E1"/>
    <mergeCell ref="B5:B15"/>
    <mergeCell ref="B16:B20"/>
    <mergeCell ref="A24:A25"/>
    <mergeCell ref="B24:B25"/>
    <mergeCell ref="C5:C15"/>
    <mergeCell ref="C16:C20"/>
    <mergeCell ref="C24:C25"/>
  </mergeCells>
  <phoneticPr fontId="6" type="noConversion"/>
  <pageMargins left="0.75" right="0.75" top="1" bottom="1" header="0.5" footer="0.5"/>
  <headerFooter alignWithMargins="0"/>
</worksheet>
</file>

<file path=xl/worksheets/sheet128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30"/>
  <sheetViews>
    <sheetView workbookViewId="0">
      <selection activeCell="E2" sqref="E1:E1048576"/>
    </sheetView>
  </sheetViews>
  <sheetFormatPr defaultRowHeight="15"/>
  <cols>
    <col min="1" max="1" width="77" customWidth="1"/>
    <col min="2" max="2" width="15.7109375" customWidth="1"/>
    <col min="3" max="3" width="15.28515625" customWidth="1"/>
    <col min="5" max="5" width="0" hidden="1" customWidth="1"/>
    <col min="257" max="257" width="77" customWidth="1"/>
    <col min="258" max="258" width="35.28515625" customWidth="1"/>
    <col min="513" max="513" width="77" customWidth="1"/>
    <col min="514" max="514" width="35.28515625" customWidth="1"/>
    <col min="769" max="769" width="77" customWidth="1"/>
    <col min="770" max="770" width="35.28515625" customWidth="1"/>
    <col min="1025" max="1025" width="77" customWidth="1"/>
    <col min="1026" max="1026" width="35.28515625" customWidth="1"/>
    <col min="1281" max="1281" width="77" customWidth="1"/>
    <col min="1282" max="1282" width="35.28515625" customWidth="1"/>
    <col min="1537" max="1537" width="77" customWidth="1"/>
    <col min="1538" max="1538" width="35.28515625" customWidth="1"/>
    <col min="1793" max="1793" width="77" customWidth="1"/>
    <col min="1794" max="1794" width="35.28515625" customWidth="1"/>
    <col min="2049" max="2049" width="77" customWidth="1"/>
    <col min="2050" max="2050" width="35.28515625" customWidth="1"/>
    <col min="2305" max="2305" width="77" customWidth="1"/>
    <col min="2306" max="2306" width="35.28515625" customWidth="1"/>
    <col min="2561" max="2561" width="77" customWidth="1"/>
    <col min="2562" max="2562" width="35.28515625" customWidth="1"/>
    <col min="2817" max="2817" width="77" customWidth="1"/>
    <col min="2818" max="2818" width="35.28515625" customWidth="1"/>
    <col min="3073" max="3073" width="77" customWidth="1"/>
    <col min="3074" max="3074" width="35.28515625" customWidth="1"/>
    <col min="3329" max="3329" width="77" customWidth="1"/>
    <col min="3330" max="3330" width="35.28515625" customWidth="1"/>
    <col min="3585" max="3585" width="77" customWidth="1"/>
    <col min="3586" max="3586" width="35.28515625" customWidth="1"/>
    <col min="3841" max="3841" width="77" customWidth="1"/>
    <col min="3842" max="3842" width="35.28515625" customWidth="1"/>
    <col min="4097" max="4097" width="77" customWidth="1"/>
    <col min="4098" max="4098" width="35.28515625" customWidth="1"/>
    <col min="4353" max="4353" width="77" customWidth="1"/>
    <col min="4354" max="4354" width="35.28515625" customWidth="1"/>
    <col min="4609" max="4609" width="77" customWidth="1"/>
    <col min="4610" max="4610" width="35.28515625" customWidth="1"/>
    <col min="4865" max="4865" width="77" customWidth="1"/>
    <col min="4866" max="4866" width="35.28515625" customWidth="1"/>
    <col min="5121" max="5121" width="77" customWidth="1"/>
    <col min="5122" max="5122" width="35.28515625" customWidth="1"/>
    <col min="5377" max="5377" width="77" customWidth="1"/>
    <col min="5378" max="5378" width="35.28515625" customWidth="1"/>
    <col min="5633" max="5633" width="77" customWidth="1"/>
    <col min="5634" max="5634" width="35.28515625" customWidth="1"/>
    <col min="5889" max="5889" width="77" customWidth="1"/>
    <col min="5890" max="5890" width="35.28515625" customWidth="1"/>
    <col min="6145" max="6145" width="77" customWidth="1"/>
    <col min="6146" max="6146" width="35.28515625" customWidth="1"/>
    <col min="6401" max="6401" width="77" customWidth="1"/>
    <col min="6402" max="6402" width="35.28515625" customWidth="1"/>
    <col min="6657" max="6657" width="77" customWidth="1"/>
    <col min="6658" max="6658" width="35.28515625" customWidth="1"/>
    <col min="6913" max="6913" width="77" customWidth="1"/>
    <col min="6914" max="6914" width="35.28515625" customWidth="1"/>
    <col min="7169" max="7169" width="77" customWidth="1"/>
    <col min="7170" max="7170" width="35.28515625" customWidth="1"/>
    <col min="7425" max="7425" width="77" customWidth="1"/>
    <col min="7426" max="7426" width="35.28515625" customWidth="1"/>
    <col min="7681" max="7681" width="77" customWidth="1"/>
    <col min="7682" max="7682" width="35.28515625" customWidth="1"/>
    <col min="7937" max="7937" width="77" customWidth="1"/>
    <col min="7938" max="7938" width="35.28515625" customWidth="1"/>
    <col min="8193" max="8193" width="77" customWidth="1"/>
    <col min="8194" max="8194" width="35.28515625" customWidth="1"/>
    <col min="8449" max="8449" width="77" customWidth="1"/>
    <col min="8450" max="8450" width="35.28515625" customWidth="1"/>
    <col min="8705" max="8705" width="77" customWidth="1"/>
    <col min="8706" max="8706" width="35.28515625" customWidth="1"/>
    <col min="8961" max="8961" width="77" customWidth="1"/>
    <col min="8962" max="8962" width="35.28515625" customWidth="1"/>
    <col min="9217" max="9217" width="77" customWidth="1"/>
    <col min="9218" max="9218" width="35.28515625" customWidth="1"/>
    <col min="9473" max="9473" width="77" customWidth="1"/>
    <col min="9474" max="9474" width="35.28515625" customWidth="1"/>
    <col min="9729" max="9729" width="77" customWidth="1"/>
    <col min="9730" max="9730" width="35.28515625" customWidth="1"/>
    <col min="9985" max="9985" width="77" customWidth="1"/>
    <col min="9986" max="9986" width="35.28515625" customWidth="1"/>
    <col min="10241" max="10241" width="77" customWidth="1"/>
    <col min="10242" max="10242" width="35.28515625" customWidth="1"/>
    <col min="10497" max="10497" width="77" customWidth="1"/>
    <col min="10498" max="10498" width="35.28515625" customWidth="1"/>
    <col min="10753" max="10753" width="77" customWidth="1"/>
    <col min="10754" max="10754" width="35.28515625" customWidth="1"/>
    <col min="11009" max="11009" width="77" customWidth="1"/>
    <col min="11010" max="11010" width="35.28515625" customWidth="1"/>
    <col min="11265" max="11265" width="77" customWidth="1"/>
    <col min="11266" max="11266" width="35.28515625" customWidth="1"/>
    <col min="11521" max="11521" width="77" customWidth="1"/>
    <col min="11522" max="11522" width="35.28515625" customWidth="1"/>
    <col min="11777" max="11777" width="77" customWidth="1"/>
    <col min="11778" max="11778" width="35.28515625" customWidth="1"/>
    <col min="12033" max="12033" width="77" customWidth="1"/>
    <col min="12034" max="12034" width="35.28515625" customWidth="1"/>
    <col min="12289" max="12289" width="77" customWidth="1"/>
    <col min="12290" max="12290" width="35.28515625" customWidth="1"/>
    <col min="12545" max="12545" width="77" customWidth="1"/>
    <col min="12546" max="12546" width="35.28515625" customWidth="1"/>
    <col min="12801" max="12801" width="77" customWidth="1"/>
    <col min="12802" max="12802" width="35.28515625" customWidth="1"/>
    <col min="13057" max="13057" width="77" customWidth="1"/>
    <col min="13058" max="13058" width="35.28515625" customWidth="1"/>
    <col min="13313" max="13313" width="77" customWidth="1"/>
    <col min="13314" max="13314" width="35.28515625" customWidth="1"/>
    <col min="13569" max="13569" width="77" customWidth="1"/>
    <col min="13570" max="13570" width="35.28515625" customWidth="1"/>
    <col min="13825" max="13825" width="77" customWidth="1"/>
    <col min="13826" max="13826" width="35.28515625" customWidth="1"/>
    <col min="14081" max="14081" width="77" customWidth="1"/>
    <col min="14082" max="14082" width="35.28515625" customWidth="1"/>
    <col min="14337" max="14337" width="77" customWidth="1"/>
    <col min="14338" max="14338" width="35.28515625" customWidth="1"/>
    <col min="14593" max="14593" width="77" customWidth="1"/>
    <col min="14594" max="14594" width="35.28515625" customWidth="1"/>
    <col min="14849" max="14849" width="77" customWidth="1"/>
    <col min="14850" max="14850" width="35.28515625" customWidth="1"/>
    <col min="15105" max="15105" width="77" customWidth="1"/>
    <col min="15106" max="15106" width="35.28515625" customWidth="1"/>
    <col min="15361" max="15361" width="77" customWidth="1"/>
    <col min="15362" max="15362" width="35.28515625" customWidth="1"/>
    <col min="15617" max="15617" width="77" customWidth="1"/>
    <col min="15618" max="15618" width="35.28515625" customWidth="1"/>
    <col min="15873" max="15873" width="77" customWidth="1"/>
    <col min="15874" max="15874" width="35.28515625" customWidth="1"/>
    <col min="16129" max="16129" width="77" customWidth="1"/>
    <col min="16130" max="16130" width="35.28515625" customWidth="1"/>
  </cols>
  <sheetData>
    <row r="1" spans="1:5">
      <c r="A1" s="90" t="s">
        <v>26</v>
      </c>
      <c r="B1" s="90"/>
      <c r="C1" s="90"/>
      <c r="D1" s="90"/>
      <c r="E1" s="90"/>
    </row>
    <row r="3" spans="1:5" ht="15.75" thickBot="1"/>
    <row r="4" spans="1:5" ht="30.75" customHeight="1" thickBot="1">
      <c r="A4" s="74" t="s">
        <v>79</v>
      </c>
      <c r="B4" s="75" t="s">
        <v>80</v>
      </c>
      <c r="C4" s="75" t="s">
        <v>105</v>
      </c>
      <c r="E4">
        <v>2179.1999999999998</v>
      </c>
    </row>
    <row r="5" spans="1:5" ht="60" customHeight="1" thickBot="1">
      <c r="A5" s="76" t="s">
        <v>81</v>
      </c>
      <c r="B5" s="110">
        <v>4.01</v>
      </c>
      <c r="C5" s="110">
        <f>B5*E4*12</f>
        <v>104863.10399999999</v>
      </c>
    </row>
    <row r="6" spans="1:5" ht="15.75" thickBot="1">
      <c r="A6" s="77" t="s">
        <v>82</v>
      </c>
      <c r="B6" s="111"/>
      <c r="C6" s="111"/>
    </row>
    <row r="7" spans="1:5" ht="15.75" thickBot="1">
      <c r="A7" s="77" t="s">
        <v>83</v>
      </c>
      <c r="B7" s="111"/>
      <c r="C7" s="111"/>
    </row>
    <row r="8" spans="1:5" ht="15.75" thickBot="1">
      <c r="A8" s="77" t="s">
        <v>84</v>
      </c>
      <c r="B8" s="111"/>
      <c r="C8" s="111"/>
    </row>
    <row r="9" spans="1:5" ht="15.75" thickBot="1">
      <c r="A9" s="77" t="s">
        <v>85</v>
      </c>
      <c r="B9" s="111"/>
      <c r="C9" s="111"/>
    </row>
    <row r="10" spans="1:5" ht="15.75" thickBot="1">
      <c r="A10" s="77" t="s">
        <v>86</v>
      </c>
      <c r="B10" s="111"/>
      <c r="C10" s="111"/>
    </row>
    <row r="11" spans="1:5" ht="15.75" thickBot="1">
      <c r="A11" s="77" t="s">
        <v>87</v>
      </c>
      <c r="B11" s="111"/>
      <c r="C11" s="111"/>
    </row>
    <row r="12" spans="1:5" ht="17.25" customHeight="1" thickBot="1">
      <c r="A12" s="77" t="s">
        <v>88</v>
      </c>
      <c r="B12" s="111"/>
      <c r="C12" s="111"/>
    </row>
    <row r="13" spans="1:5" ht="18" customHeight="1" thickBot="1">
      <c r="A13" s="77" t="s">
        <v>89</v>
      </c>
      <c r="B13" s="111"/>
      <c r="C13" s="111"/>
    </row>
    <row r="14" spans="1:5" ht="15.75" thickBot="1">
      <c r="A14" s="77" t="s">
        <v>90</v>
      </c>
      <c r="B14" s="111"/>
      <c r="C14" s="111"/>
    </row>
    <row r="15" spans="1:5" ht="15.75" thickBot="1">
      <c r="A15" s="77" t="s">
        <v>91</v>
      </c>
      <c r="B15" s="112"/>
      <c r="C15" s="112"/>
    </row>
    <row r="16" spans="1:5" ht="31.5" customHeight="1" thickBot="1">
      <c r="A16" s="76" t="s">
        <v>92</v>
      </c>
      <c r="B16" s="113">
        <v>4.92</v>
      </c>
      <c r="C16" s="113">
        <f>B16*E4*12</f>
        <v>128659.96799999999</v>
      </c>
    </row>
    <row r="17" spans="1:3" ht="15.75" thickBot="1">
      <c r="A17" s="78" t="s">
        <v>93</v>
      </c>
      <c r="B17" s="114"/>
      <c r="C17" s="114"/>
    </row>
    <row r="18" spans="1:3" ht="15.75" thickBot="1">
      <c r="A18" s="78" t="s">
        <v>94</v>
      </c>
      <c r="B18" s="114"/>
      <c r="C18" s="114"/>
    </row>
    <row r="19" spans="1:3" ht="15.75" customHeight="1" thickBot="1">
      <c r="A19" s="77" t="s">
        <v>95</v>
      </c>
      <c r="B19" s="114"/>
      <c r="C19" s="114"/>
    </row>
    <row r="20" spans="1:3" ht="16.5" customHeight="1" thickBot="1">
      <c r="A20" s="77" t="s">
        <v>96</v>
      </c>
      <c r="B20" s="115"/>
      <c r="C20" s="115"/>
    </row>
    <row r="21" spans="1:3" ht="20.25" customHeight="1" thickBot="1">
      <c r="A21" s="76" t="s">
        <v>97</v>
      </c>
      <c r="B21" s="79">
        <v>11.25</v>
      </c>
      <c r="C21" s="79">
        <f>B21*E4*12</f>
        <v>294191.99999999994</v>
      </c>
    </row>
    <row r="22" spans="1:3" ht="15.75" thickBot="1">
      <c r="A22" s="80" t="s">
        <v>98</v>
      </c>
      <c r="B22" s="81">
        <v>1.65</v>
      </c>
      <c r="C22" s="81">
        <f>B22*E4*12</f>
        <v>43148.159999999989</v>
      </c>
    </row>
    <row r="23" spans="1:3" ht="42.75" customHeight="1" thickBot="1">
      <c r="A23" s="82" t="s">
        <v>99</v>
      </c>
      <c r="B23" s="83">
        <v>4.8099999999999996</v>
      </c>
      <c r="C23" s="83">
        <f>B23*E4*12</f>
        <v>125783.42399999997</v>
      </c>
    </row>
    <row r="24" spans="1:3" ht="19.5" customHeight="1">
      <c r="A24" s="106" t="s">
        <v>100</v>
      </c>
      <c r="B24" s="108">
        <v>3.54</v>
      </c>
      <c r="C24" s="108">
        <f>B24*E4*12</f>
        <v>92572.415999999997</v>
      </c>
    </row>
    <row r="25" spans="1:3" ht="15.75" hidden="1" customHeight="1">
      <c r="A25" s="107"/>
      <c r="B25" s="109"/>
      <c r="C25" s="109"/>
    </row>
    <row r="26" spans="1:3" ht="15.75" thickBot="1">
      <c r="A26" s="82" t="s">
        <v>101</v>
      </c>
      <c r="B26" s="81">
        <v>1.25</v>
      </c>
      <c r="C26" s="81">
        <f>B26*E4*12</f>
        <v>32688</v>
      </c>
    </row>
    <row r="27" spans="1:3" ht="15.75" thickBot="1">
      <c r="A27" s="84" t="s">
        <v>102</v>
      </c>
      <c r="B27" s="85">
        <v>20.18</v>
      </c>
      <c r="C27" s="85">
        <f>C26+C24+C23+C22+C16+C5</f>
        <v>527715.07199999993</v>
      </c>
    </row>
    <row r="28" spans="1:3" ht="15.75" thickBot="1">
      <c r="A28" s="86" t="s">
        <v>103</v>
      </c>
      <c r="B28" s="87">
        <v>2.02</v>
      </c>
      <c r="C28" s="87">
        <f>B28*E4*12</f>
        <v>52823.80799999999</v>
      </c>
    </row>
    <row r="29" spans="1:3" ht="15.75" thickBot="1">
      <c r="A29" s="84" t="s">
        <v>104</v>
      </c>
      <c r="B29" s="88">
        <v>22.2</v>
      </c>
      <c r="C29" s="88">
        <f>C28+C27</f>
        <v>580538.87999999989</v>
      </c>
    </row>
    <row r="30" spans="1:3">
      <c r="A30" s="89"/>
    </row>
  </sheetData>
  <mergeCells count="8">
    <mergeCell ref="A1:E1"/>
    <mergeCell ref="B5:B15"/>
    <mergeCell ref="B16:B20"/>
    <mergeCell ref="A24:A25"/>
    <mergeCell ref="B24:B25"/>
    <mergeCell ref="C5:C15"/>
    <mergeCell ref="C16:C20"/>
    <mergeCell ref="C24:C25"/>
  </mergeCells>
  <phoneticPr fontId="6" type="noConversion"/>
  <pageMargins left="0.75" right="0.75" top="1" bottom="1" header="0.5" footer="0.5"/>
  <headerFooter alignWithMargins="0"/>
</worksheet>
</file>

<file path=xl/worksheets/sheet129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30"/>
  <sheetViews>
    <sheetView workbookViewId="0">
      <selection activeCell="E2" sqref="E1:E1048576"/>
    </sheetView>
  </sheetViews>
  <sheetFormatPr defaultRowHeight="15"/>
  <cols>
    <col min="1" max="1" width="77" customWidth="1"/>
    <col min="2" max="2" width="15.7109375" customWidth="1"/>
    <col min="3" max="3" width="15.28515625" customWidth="1"/>
    <col min="5" max="5" width="0" hidden="1" customWidth="1"/>
    <col min="257" max="257" width="77" customWidth="1"/>
    <col min="258" max="258" width="35.28515625" customWidth="1"/>
    <col min="513" max="513" width="77" customWidth="1"/>
    <col min="514" max="514" width="35.28515625" customWidth="1"/>
    <col min="769" max="769" width="77" customWidth="1"/>
    <col min="770" max="770" width="35.28515625" customWidth="1"/>
    <col min="1025" max="1025" width="77" customWidth="1"/>
    <col min="1026" max="1026" width="35.28515625" customWidth="1"/>
    <col min="1281" max="1281" width="77" customWidth="1"/>
    <col min="1282" max="1282" width="35.28515625" customWidth="1"/>
    <col min="1537" max="1537" width="77" customWidth="1"/>
    <col min="1538" max="1538" width="35.28515625" customWidth="1"/>
    <col min="1793" max="1793" width="77" customWidth="1"/>
    <col min="1794" max="1794" width="35.28515625" customWidth="1"/>
    <col min="2049" max="2049" width="77" customWidth="1"/>
    <col min="2050" max="2050" width="35.28515625" customWidth="1"/>
    <col min="2305" max="2305" width="77" customWidth="1"/>
    <col min="2306" max="2306" width="35.28515625" customWidth="1"/>
    <col min="2561" max="2561" width="77" customWidth="1"/>
    <col min="2562" max="2562" width="35.28515625" customWidth="1"/>
    <col min="2817" max="2817" width="77" customWidth="1"/>
    <col min="2818" max="2818" width="35.28515625" customWidth="1"/>
    <col min="3073" max="3073" width="77" customWidth="1"/>
    <col min="3074" max="3074" width="35.28515625" customWidth="1"/>
    <col min="3329" max="3329" width="77" customWidth="1"/>
    <col min="3330" max="3330" width="35.28515625" customWidth="1"/>
    <col min="3585" max="3585" width="77" customWidth="1"/>
    <col min="3586" max="3586" width="35.28515625" customWidth="1"/>
    <col min="3841" max="3841" width="77" customWidth="1"/>
    <col min="3842" max="3842" width="35.28515625" customWidth="1"/>
    <col min="4097" max="4097" width="77" customWidth="1"/>
    <col min="4098" max="4098" width="35.28515625" customWidth="1"/>
    <col min="4353" max="4353" width="77" customWidth="1"/>
    <col min="4354" max="4354" width="35.28515625" customWidth="1"/>
    <col min="4609" max="4609" width="77" customWidth="1"/>
    <col min="4610" max="4610" width="35.28515625" customWidth="1"/>
    <col min="4865" max="4865" width="77" customWidth="1"/>
    <col min="4866" max="4866" width="35.28515625" customWidth="1"/>
    <col min="5121" max="5121" width="77" customWidth="1"/>
    <col min="5122" max="5122" width="35.28515625" customWidth="1"/>
    <col min="5377" max="5377" width="77" customWidth="1"/>
    <col min="5378" max="5378" width="35.28515625" customWidth="1"/>
    <col min="5633" max="5633" width="77" customWidth="1"/>
    <col min="5634" max="5634" width="35.28515625" customWidth="1"/>
    <col min="5889" max="5889" width="77" customWidth="1"/>
    <col min="5890" max="5890" width="35.28515625" customWidth="1"/>
    <col min="6145" max="6145" width="77" customWidth="1"/>
    <col min="6146" max="6146" width="35.28515625" customWidth="1"/>
    <col min="6401" max="6401" width="77" customWidth="1"/>
    <col min="6402" max="6402" width="35.28515625" customWidth="1"/>
    <col min="6657" max="6657" width="77" customWidth="1"/>
    <col min="6658" max="6658" width="35.28515625" customWidth="1"/>
    <col min="6913" max="6913" width="77" customWidth="1"/>
    <col min="6914" max="6914" width="35.28515625" customWidth="1"/>
    <col min="7169" max="7169" width="77" customWidth="1"/>
    <col min="7170" max="7170" width="35.28515625" customWidth="1"/>
    <col min="7425" max="7425" width="77" customWidth="1"/>
    <col min="7426" max="7426" width="35.28515625" customWidth="1"/>
    <col min="7681" max="7681" width="77" customWidth="1"/>
    <col min="7682" max="7682" width="35.28515625" customWidth="1"/>
    <col min="7937" max="7937" width="77" customWidth="1"/>
    <col min="7938" max="7938" width="35.28515625" customWidth="1"/>
    <col min="8193" max="8193" width="77" customWidth="1"/>
    <col min="8194" max="8194" width="35.28515625" customWidth="1"/>
    <col min="8449" max="8449" width="77" customWidth="1"/>
    <col min="8450" max="8450" width="35.28515625" customWidth="1"/>
    <col min="8705" max="8705" width="77" customWidth="1"/>
    <col min="8706" max="8706" width="35.28515625" customWidth="1"/>
    <col min="8961" max="8961" width="77" customWidth="1"/>
    <col min="8962" max="8962" width="35.28515625" customWidth="1"/>
    <col min="9217" max="9217" width="77" customWidth="1"/>
    <col min="9218" max="9218" width="35.28515625" customWidth="1"/>
    <col min="9473" max="9473" width="77" customWidth="1"/>
    <col min="9474" max="9474" width="35.28515625" customWidth="1"/>
    <col min="9729" max="9729" width="77" customWidth="1"/>
    <col min="9730" max="9730" width="35.28515625" customWidth="1"/>
    <col min="9985" max="9985" width="77" customWidth="1"/>
    <col min="9986" max="9986" width="35.28515625" customWidth="1"/>
    <col min="10241" max="10241" width="77" customWidth="1"/>
    <col min="10242" max="10242" width="35.28515625" customWidth="1"/>
    <col min="10497" max="10497" width="77" customWidth="1"/>
    <col min="10498" max="10498" width="35.28515625" customWidth="1"/>
    <col min="10753" max="10753" width="77" customWidth="1"/>
    <col min="10754" max="10754" width="35.28515625" customWidth="1"/>
    <col min="11009" max="11009" width="77" customWidth="1"/>
    <col min="11010" max="11010" width="35.28515625" customWidth="1"/>
    <col min="11265" max="11265" width="77" customWidth="1"/>
    <col min="11266" max="11266" width="35.28515625" customWidth="1"/>
    <col min="11521" max="11521" width="77" customWidth="1"/>
    <col min="11522" max="11522" width="35.28515625" customWidth="1"/>
    <col min="11777" max="11777" width="77" customWidth="1"/>
    <col min="11778" max="11778" width="35.28515625" customWidth="1"/>
    <col min="12033" max="12033" width="77" customWidth="1"/>
    <col min="12034" max="12034" width="35.28515625" customWidth="1"/>
    <col min="12289" max="12289" width="77" customWidth="1"/>
    <col min="12290" max="12290" width="35.28515625" customWidth="1"/>
    <col min="12545" max="12545" width="77" customWidth="1"/>
    <col min="12546" max="12546" width="35.28515625" customWidth="1"/>
    <col min="12801" max="12801" width="77" customWidth="1"/>
    <col min="12802" max="12802" width="35.28515625" customWidth="1"/>
    <col min="13057" max="13057" width="77" customWidth="1"/>
    <col min="13058" max="13058" width="35.28515625" customWidth="1"/>
    <col min="13313" max="13313" width="77" customWidth="1"/>
    <col min="13314" max="13314" width="35.28515625" customWidth="1"/>
    <col min="13569" max="13569" width="77" customWidth="1"/>
    <col min="13570" max="13570" width="35.28515625" customWidth="1"/>
    <col min="13825" max="13825" width="77" customWidth="1"/>
    <col min="13826" max="13826" width="35.28515625" customWidth="1"/>
    <col min="14081" max="14081" width="77" customWidth="1"/>
    <col min="14082" max="14082" width="35.28515625" customWidth="1"/>
    <col min="14337" max="14337" width="77" customWidth="1"/>
    <col min="14338" max="14338" width="35.28515625" customWidth="1"/>
    <col min="14593" max="14593" width="77" customWidth="1"/>
    <col min="14594" max="14594" width="35.28515625" customWidth="1"/>
    <col min="14849" max="14849" width="77" customWidth="1"/>
    <col min="14850" max="14850" width="35.28515625" customWidth="1"/>
    <col min="15105" max="15105" width="77" customWidth="1"/>
    <col min="15106" max="15106" width="35.28515625" customWidth="1"/>
    <col min="15361" max="15361" width="77" customWidth="1"/>
    <col min="15362" max="15362" width="35.28515625" customWidth="1"/>
    <col min="15617" max="15617" width="77" customWidth="1"/>
    <col min="15618" max="15618" width="35.28515625" customWidth="1"/>
    <col min="15873" max="15873" width="77" customWidth="1"/>
    <col min="15874" max="15874" width="35.28515625" customWidth="1"/>
    <col min="16129" max="16129" width="77" customWidth="1"/>
    <col min="16130" max="16130" width="35.28515625" customWidth="1"/>
  </cols>
  <sheetData>
    <row r="1" spans="1:5">
      <c r="A1" s="90" t="s">
        <v>26</v>
      </c>
      <c r="B1" s="90"/>
      <c r="C1" s="90"/>
      <c r="D1" s="90"/>
      <c r="E1" s="90"/>
    </row>
    <row r="3" spans="1:5" ht="15.75" thickBot="1"/>
    <row r="4" spans="1:5" ht="30.75" customHeight="1" thickBot="1">
      <c r="A4" s="74" t="s">
        <v>79</v>
      </c>
      <c r="B4" s="75" t="s">
        <v>80</v>
      </c>
      <c r="C4" s="75" t="s">
        <v>105</v>
      </c>
      <c r="E4">
        <v>2171.8000000000002</v>
      </c>
    </row>
    <row r="5" spans="1:5" ht="60" customHeight="1" thickBot="1">
      <c r="A5" s="76" t="s">
        <v>81</v>
      </c>
      <c r="B5" s="110">
        <v>4.01</v>
      </c>
      <c r="C5" s="110">
        <f>B5*E4*12</f>
        <v>104507.016</v>
      </c>
    </row>
    <row r="6" spans="1:5" ht="15.75" thickBot="1">
      <c r="A6" s="77" t="s">
        <v>82</v>
      </c>
      <c r="B6" s="111"/>
      <c r="C6" s="111"/>
    </row>
    <row r="7" spans="1:5" ht="15.75" thickBot="1">
      <c r="A7" s="77" t="s">
        <v>83</v>
      </c>
      <c r="B7" s="111"/>
      <c r="C7" s="111"/>
    </row>
    <row r="8" spans="1:5" ht="15.75" thickBot="1">
      <c r="A8" s="77" t="s">
        <v>84</v>
      </c>
      <c r="B8" s="111"/>
      <c r="C8" s="111"/>
    </row>
    <row r="9" spans="1:5" ht="15.75" thickBot="1">
      <c r="A9" s="77" t="s">
        <v>85</v>
      </c>
      <c r="B9" s="111"/>
      <c r="C9" s="111"/>
    </row>
    <row r="10" spans="1:5" ht="15.75" thickBot="1">
      <c r="A10" s="77" t="s">
        <v>86</v>
      </c>
      <c r="B10" s="111"/>
      <c r="C10" s="111"/>
    </row>
    <row r="11" spans="1:5" ht="15.75" thickBot="1">
      <c r="A11" s="77" t="s">
        <v>87</v>
      </c>
      <c r="B11" s="111"/>
      <c r="C11" s="111"/>
    </row>
    <row r="12" spans="1:5" ht="17.25" customHeight="1" thickBot="1">
      <c r="A12" s="77" t="s">
        <v>88</v>
      </c>
      <c r="B12" s="111"/>
      <c r="C12" s="111"/>
    </row>
    <row r="13" spans="1:5" ht="18" customHeight="1" thickBot="1">
      <c r="A13" s="77" t="s">
        <v>89</v>
      </c>
      <c r="B13" s="111"/>
      <c r="C13" s="111"/>
    </row>
    <row r="14" spans="1:5" ht="15.75" thickBot="1">
      <c r="A14" s="77" t="s">
        <v>90</v>
      </c>
      <c r="B14" s="111"/>
      <c r="C14" s="111"/>
    </row>
    <row r="15" spans="1:5" ht="15.75" thickBot="1">
      <c r="A15" s="77" t="s">
        <v>91</v>
      </c>
      <c r="B15" s="112"/>
      <c r="C15" s="112"/>
    </row>
    <row r="16" spans="1:5" ht="31.5" customHeight="1" thickBot="1">
      <c r="A16" s="76" t="s">
        <v>92</v>
      </c>
      <c r="B16" s="113">
        <v>4.92</v>
      </c>
      <c r="C16" s="113">
        <f>B16*E4*12</f>
        <v>128223.07200000001</v>
      </c>
    </row>
    <row r="17" spans="1:3" ht="15.75" thickBot="1">
      <c r="A17" s="78" t="s">
        <v>93</v>
      </c>
      <c r="B17" s="114"/>
      <c r="C17" s="114"/>
    </row>
    <row r="18" spans="1:3" ht="15.75" thickBot="1">
      <c r="A18" s="78" t="s">
        <v>94</v>
      </c>
      <c r="B18" s="114"/>
      <c r="C18" s="114"/>
    </row>
    <row r="19" spans="1:3" ht="15.75" customHeight="1" thickBot="1">
      <c r="A19" s="77" t="s">
        <v>95</v>
      </c>
      <c r="B19" s="114"/>
      <c r="C19" s="114"/>
    </row>
    <row r="20" spans="1:3" ht="16.5" customHeight="1" thickBot="1">
      <c r="A20" s="77" t="s">
        <v>96</v>
      </c>
      <c r="B20" s="115"/>
      <c r="C20" s="115"/>
    </row>
    <row r="21" spans="1:3" ht="20.25" customHeight="1" thickBot="1">
      <c r="A21" s="76" t="s">
        <v>97</v>
      </c>
      <c r="B21" s="79">
        <v>11.25</v>
      </c>
      <c r="C21" s="79">
        <f>B21*E4*12</f>
        <v>293193.00000000006</v>
      </c>
    </row>
    <row r="22" spans="1:3" ht="15.75" thickBot="1">
      <c r="A22" s="80" t="s">
        <v>98</v>
      </c>
      <c r="B22" s="81">
        <v>1.65</v>
      </c>
      <c r="C22" s="81">
        <f>B22*E4*12</f>
        <v>43001.64</v>
      </c>
    </row>
    <row r="23" spans="1:3" ht="42.75" customHeight="1" thickBot="1">
      <c r="A23" s="82" t="s">
        <v>99</v>
      </c>
      <c r="B23" s="83">
        <v>4.8099999999999996</v>
      </c>
      <c r="C23" s="83">
        <f>B23*E4*12</f>
        <v>125356.296</v>
      </c>
    </row>
    <row r="24" spans="1:3" ht="19.5" customHeight="1">
      <c r="A24" s="106" t="s">
        <v>100</v>
      </c>
      <c r="B24" s="108">
        <v>3.54</v>
      </c>
      <c r="C24" s="108">
        <f>B24*E4*12</f>
        <v>92258.064000000013</v>
      </c>
    </row>
    <row r="25" spans="1:3" ht="15.75" hidden="1" customHeight="1">
      <c r="A25" s="107"/>
      <c r="B25" s="109"/>
      <c r="C25" s="109"/>
    </row>
    <row r="26" spans="1:3" ht="15.75" thickBot="1">
      <c r="A26" s="82" t="s">
        <v>101</v>
      </c>
      <c r="B26" s="81">
        <v>1.25</v>
      </c>
      <c r="C26" s="81">
        <f>B26*E4*12</f>
        <v>32577</v>
      </c>
    </row>
    <row r="27" spans="1:3" ht="15.75" thickBot="1">
      <c r="A27" s="84" t="s">
        <v>102</v>
      </c>
      <c r="B27" s="85">
        <v>20.18</v>
      </c>
      <c r="C27" s="85">
        <f>C26+C24+C23+C22+C16+C5</f>
        <v>525923.08799999999</v>
      </c>
    </row>
    <row r="28" spans="1:3" ht="15.75" thickBot="1">
      <c r="A28" s="86" t="s">
        <v>103</v>
      </c>
      <c r="B28" s="87">
        <v>2.02</v>
      </c>
      <c r="C28" s="87">
        <f>B28*E4*12</f>
        <v>52644.432000000001</v>
      </c>
    </row>
    <row r="29" spans="1:3" ht="15.75" thickBot="1">
      <c r="A29" s="84" t="s">
        <v>104</v>
      </c>
      <c r="B29" s="88">
        <v>22.2</v>
      </c>
      <c r="C29" s="88">
        <f>C28+C27</f>
        <v>578567.52</v>
      </c>
    </row>
    <row r="30" spans="1:3">
      <c r="A30" s="89"/>
    </row>
  </sheetData>
  <mergeCells count="8">
    <mergeCell ref="A1:E1"/>
    <mergeCell ref="B5:B15"/>
    <mergeCell ref="B16:B20"/>
    <mergeCell ref="A24:A25"/>
    <mergeCell ref="B24:B25"/>
    <mergeCell ref="C5:C15"/>
    <mergeCell ref="C16:C20"/>
    <mergeCell ref="C24:C25"/>
  </mergeCells>
  <phoneticPr fontId="6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26" sqref="E2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71093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97028.064000000013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384.3*12*16.39</f>
        <v>75584.124000000011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384.3*4.65*12</f>
        <v>21443.940000000002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384.3*12*0.003</f>
        <v>13.834800000000001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384.3*12*2.54</f>
        <v>11713.464000000002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384.3*12*2.11</f>
        <v>9730.4760000000006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384.3*12*2.6</f>
        <v>11990.160000000002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384.3*12*1.92</f>
        <v>8854.2720000000008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384.3*12*2.34</f>
        <v>10791.144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384.3*12*1.36</f>
        <v>6271.7760000000007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384.3*12*3.03</f>
        <v>13973.148000000001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384.3*12*0.07</f>
        <v>322.81200000000007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384.3*12*0.42</f>
        <v>1936.8720000000001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75597.958800000008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-13.834799999996903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/>
      <c r="D24" s="12"/>
      <c r="E24" s="10"/>
    </row>
    <row r="25" spans="1:7"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21443.940000000002</v>
      </c>
    </row>
  </sheetData>
  <mergeCells count="3">
    <mergeCell ref="B23:E23"/>
    <mergeCell ref="A2:E2"/>
    <mergeCell ref="B9:E9"/>
  </mergeCells>
  <phoneticPr fontId="6" type="noConversion"/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30"/>
  <sheetViews>
    <sheetView workbookViewId="0">
      <selection activeCell="E2" sqref="E1:E1048576"/>
    </sheetView>
  </sheetViews>
  <sheetFormatPr defaultRowHeight="15"/>
  <cols>
    <col min="1" max="1" width="77" customWidth="1"/>
    <col min="2" max="2" width="15.7109375" customWidth="1"/>
    <col min="3" max="3" width="15.28515625" customWidth="1"/>
    <col min="5" max="5" width="0" hidden="1" customWidth="1"/>
    <col min="257" max="257" width="77" customWidth="1"/>
    <col min="258" max="258" width="35.28515625" customWidth="1"/>
    <col min="513" max="513" width="77" customWidth="1"/>
    <col min="514" max="514" width="35.28515625" customWidth="1"/>
    <col min="769" max="769" width="77" customWidth="1"/>
    <col min="770" max="770" width="35.28515625" customWidth="1"/>
    <col min="1025" max="1025" width="77" customWidth="1"/>
    <col min="1026" max="1026" width="35.28515625" customWidth="1"/>
    <col min="1281" max="1281" width="77" customWidth="1"/>
    <col min="1282" max="1282" width="35.28515625" customWidth="1"/>
    <col min="1537" max="1537" width="77" customWidth="1"/>
    <col min="1538" max="1538" width="35.28515625" customWidth="1"/>
    <col min="1793" max="1793" width="77" customWidth="1"/>
    <col min="1794" max="1794" width="35.28515625" customWidth="1"/>
    <col min="2049" max="2049" width="77" customWidth="1"/>
    <col min="2050" max="2050" width="35.28515625" customWidth="1"/>
    <col min="2305" max="2305" width="77" customWidth="1"/>
    <col min="2306" max="2306" width="35.28515625" customWidth="1"/>
    <col min="2561" max="2561" width="77" customWidth="1"/>
    <col min="2562" max="2562" width="35.28515625" customWidth="1"/>
    <col min="2817" max="2817" width="77" customWidth="1"/>
    <col min="2818" max="2818" width="35.28515625" customWidth="1"/>
    <col min="3073" max="3073" width="77" customWidth="1"/>
    <col min="3074" max="3074" width="35.28515625" customWidth="1"/>
    <col min="3329" max="3329" width="77" customWidth="1"/>
    <col min="3330" max="3330" width="35.28515625" customWidth="1"/>
    <col min="3585" max="3585" width="77" customWidth="1"/>
    <col min="3586" max="3586" width="35.28515625" customWidth="1"/>
    <col min="3841" max="3841" width="77" customWidth="1"/>
    <col min="3842" max="3842" width="35.28515625" customWidth="1"/>
    <col min="4097" max="4097" width="77" customWidth="1"/>
    <col min="4098" max="4098" width="35.28515625" customWidth="1"/>
    <col min="4353" max="4353" width="77" customWidth="1"/>
    <col min="4354" max="4354" width="35.28515625" customWidth="1"/>
    <col min="4609" max="4609" width="77" customWidth="1"/>
    <col min="4610" max="4610" width="35.28515625" customWidth="1"/>
    <col min="4865" max="4865" width="77" customWidth="1"/>
    <col min="4866" max="4866" width="35.28515625" customWidth="1"/>
    <col min="5121" max="5121" width="77" customWidth="1"/>
    <col min="5122" max="5122" width="35.28515625" customWidth="1"/>
    <col min="5377" max="5377" width="77" customWidth="1"/>
    <col min="5378" max="5378" width="35.28515625" customWidth="1"/>
    <col min="5633" max="5633" width="77" customWidth="1"/>
    <col min="5634" max="5634" width="35.28515625" customWidth="1"/>
    <col min="5889" max="5889" width="77" customWidth="1"/>
    <col min="5890" max="5890" width="35.28515625" customWidth="1"/>
    <col min="6145" max="6145" width="77" customWidth="1"/>
    <col min="6146" max="6146" width="35.28515625" customWidth="1"/>
    <col min="6401" max="6401" width="77" customWidth="1"/>
    <col min="6402" max="6402" width="35.28515625" customWidth="1"/>
    <col min="6657" max="6657" width="77" customWidth="1"/>
    <col min="6658" max="6658" width="35.28515625" customWidth="1"/>
    <col min="6913" max="6913" width="77" customWidth="1"/>
    <col min="6914" max="6914" width="35.28515625" customWidth="1"/>
    <col min="7169" max="7169" width="77" customWidth="1"/>
    <col min="7170" max="7170" width="35.28515625" customWidth="1"/>
    <col min="7425" max="7425" width="77" customWidth="1"/>
    <col min="7426" max="7426" width="35.28515625" customWidth="1"/>
    <col min="7681" max="7681" width="77" customWidth="1"/>
    <col min="7682" max="7682" width="35.28515625" customWidth="1"/>
    <col min="7937" max="7937" width="77" customWidth="1"/>
    <col min="7938" max="7938" width="35.28515625" customWidth="1"/>
    <col min="8193" max="8193" width="77" customWidth="1"/>
    <col min="8194" max="8194" width="35.28515625" customWidth="1"/>
    <col min="8449" max="8449" width="77" customWidth="1"/>
    <col min="8450" max="8450" width="35.28515625" customWidth="1"/>
    <col min="8705" max="8705" width="77" customWidth="1"/>
    <col min="8706" max="8706" width="35.28515625" customWidth="1"/>
    <col min="8961" max="8961" width="77" customWidth="1"/>
    <col min="8962" max="8962" width="35.28515625" customWidth="1"/>
    <col min="9217" max="9217" width="77" customWidth="1"/>
    <col min="9218" max="9218" width="35.28515625" customWidth="1"/>
    <col min="9473" max="9473" width="77" customWidth="1"/>
    <col min="9474" max="9474" width="35.28515625" customWidth="1"/>
    <col min="9729" max="9729" width="77" customWidth="1"/>
    <col min="9730" max="9730" width="35.28515625" customWidth="1"/>
    <col min="9985" max="9985" width="77" customWidth="1"/>
    <col min="9986" max="9986" width="35.28515625" customWidth="1"/>
    <col min="10241" max="10241" width="77" customWidth="1"/>
    <col min="10242" max="10242" width="35.28515625" customWidth="1"/>
    <col min="10497" max="10497" width="77" customWidth="1"/>
    <col min="10498" max="10498" width="35.28515625" customWidth="1"/>
    <col min="10753" max="10753" width="77" customWidth="1"/>
    <col min="10754" max="10754" width="35.28515625" customWidth="1"/>
    <col min="11009" max="11009" width="77" customWidth="1"/>
    <col min="11010" max="11010" width="35.28515625" customWidth="1"/>
    <col min="11265" max="11265" width="77" customWidth="1"/>
    <col min="11266" max="11266" width="35.28515625" customWidth="1"/>
    <col min="11521" max="11521" width="77" customWidth="1"/>
    <col min="11522" max="11522" width="35.28515625" customWidth="1"/>
    <col min="11777" max="11777" width="77" customWidth="1"/>
    <col min="11778" max="11778" width="35.28515625" customWidth="1"/>
    <col min="12033" max="12033" width="77" customWidth="1"/>
    <col min="12034" max="12034" width="35.28515625" customWidth="1"/>
    <col min="12289" max="12289" width="77" customWidth="1"/>
    <col min="12290" max="12290" width="35.28515625" customWidth="1"/>
    <col min="12545" max="12545" width="77" customWidth="1"/>
    <col min="12546" max="12546" width="35.28515625" customWidth="1"/>
    <col min="12801" max="12801" width="77" customWidth="1"/>
    <col min="12802" max="12802" width="35.28515625" customWidth="1"/>
    <col min="13057" max="13057" width="77" customWidth="1"/>
    <col min="13058" max="13058" width="35.28515625" customWidth="1"/>
    <col min="13313" max="13313" width="77" customWidth="1"/>
    <col min="13314" max="13314" width="35.28515625" customWidth="1"/>
    <col min="13569" max="13569" width="77" customWidth="1"/>
    <col min="13570" max="13570" width="35.28515625" customWidth="1"/>
    <col min="13825" max="13825" width="77" customWidth="1"/>
    <col min="13826" max="13826" width="35.28515625" customWidth="1"/>
    <col min="14081" max="14081" width="77" customWidth="1"/>
    <col min="14082" max="14082" width="35.28515625" customWidth="1"/>
    <col min="14337" max="14337" width="77" customWidth="1"/>
    <col min="14338" max="14338" width="35.28515625" customWidth="1"/>
    <col min="14593" max="14593" width="77" customWidth="1"/>
    <col min="14594" max="14594" width="35.28515625" customWidth="1"/>
    <col min="14849" max="14849" width="77" customWidth="1"/>
    <col min="14850" max="14850" width="35.28515625" customWidth="1"/>
    <col min="15105" max="15105" width="77" customWidth="1"/>
    <col min="15106" max="15106" width="35.28515625" customWidth="1"/>
    <col min="15361" max="15361" width="77" customWidth="1"/>
    <col min="15362" max="15362" width="35.28515625" customWidth="1"/>
    <col min="15617" max="15617" width="77" customWidth="1"/>
    <col min="15618" max="15618" width="35.28515625" customWidth="1"/>
    <col min="15873" max="15873" width="77" customWidth="1"/>
    <col min="15874" max="15874" width="35.28515625" customWidth="1"/>
    <col min="16129" max="16129" width="77" customWidth="1"/>
    <col min="16130" max="16130" width="35.28515625" customWidth="1"/>
  </cols>
  <sheetData>
    <row r="1" spans="1:5">
      <c r="A1" s="90" t="s">
        <v>26</v>
      </c>
      <c r="B1" s="90"/>
      <c r="C1" s="90"/>
      <c r="D1" s="90"/>
      <c r="E1" s="90"/>
    </row>
    <row r="3" spans="1:5" ht="15.75" thickBot="1"/>
    <row r="4" spans="1:5" ht="30.75" customHeight="1" thickBot="1">
      <c r="A4" s="74" t="s">
        <v>79</v>
      </c>
      <c r="B4" s="75" t="s">
        <v>80</v>
      </c>
      <c r="C4" s="75" t="s">
        <v>105</v>
      </c>
      <c r="E4">
        <v>2179.6999999999998</v>
      </c>
    </row>
    <row r="5" spans="1:5" ht="60" customHeight="1" thickBot="1">
      <c r="A5" s="76" t="s">
        <v>81</v>
      </c>
      <c r="B5" s="110">
        <v>4.01</v>
      </c>
      <c r="C5" s="110">
        <f>B5*E4*12</f>
        <v>104887.16399999998</v>
      </c>
    </row>
    <row r="6" spans="1:5" ht="15.75" thickBot="1">
      <c r="A6" s="77" t="s">
        <v>82</v>
      </c>
      <c r="B6" s="111"/>
      <c r="C6" s="111"/>
    </row>
    <row r="7" spans="1:5" ht="15.75" thickBot="1">
      <c r="A7" s="77" t="s">
        <v>83</v>
      </c>
      <c r="B7" s="111"/>
      <c r="C7" s="111"/>
    </row>
    <row r="8" spans="1:5" ht="15.75" thickBot="1">
      <c r="A8" s="77" t="s">
        <v>84</v>
      </c>
      <c r="B8" s="111"/>
      <c r="C8" s="111"/>
    </row>
    <row r="9" spans="1:5" ht="15.75" thickBot="1">
      <c r="A9" s="77" t="s">
        <v>85</v>
      </c>
      <c r="B9" s="111"/>
      <c r="C9" s="111"/>
    </row>
    <row r="10" spans="1:5" ht="15.75" thickBot="1">
      <c r="A10" s="77" t="s">
        <v>86</v>
      </c>
      <c r="B10" s="111"/>
      <c r="C10" s="111"/>
    </row>
    <row r="11" spans="1:5" ht="15.75" thickBot="1">
      <c r="A11" s="77" t="s">
        <v>87</v>
      </c>
      <c r="B11" s="111"/>
      <c r="C11" s="111"/>
    </row>
    <row r="12" spans="1:5" ht="17.25" customHeight="1" thickBot="1">
      <c r="A12" s="77" t="s">
        <v>88</v>
      </c>
      <c r="B12" s="111"/>
      <c r="C12" s="111"/>
    </row>
    <row r="13" spans="1:5" ht="18" customHeight="1" thickBot="1">
      <c r="A13" s="77" t="s">
        <v>89</v>
      </c>
      <c r="B13" s="111"/>
      <c r="C13" s="111"/>
    </row>
    <row r="14" spans="1:5" ht="15.75" thickBot="1">
      <c r="A14" s="77" t="s">
        <v>90</v>
      </c>
      <c r="B14" s="111"/>
      <c r="C14" s="111"/>
    </row>
    <row r="15" spans="1:5" ht="15.75" thickBot="1">
      <c r="A15" s="77" t="s">
        <v>91</v>
      </c>
      <c r="B15" s="112"/>
      <c r="C15" s="112"/>
    </row>
    <row r="16" spans="1:5" ht="31.5" customHeight="1" thickBot="1">
      <c r="A16" s="76" t="s">
        <v>92</v>
      </c>
      <c r="B16" s="113">
        <v>4.92</v>
      </c>
      <c r="C16" s="113">
        <f>B16*E4*12</f>
        <v>128689.488</v>
      </c>
    </row>
    <row r="17" spans="1:3" ht="15.75" thickBot="1">
      <c r="A17" s="78" t="s">
        <v>93</v>
      </c>
      <c r="B17" s="114"/>
      <c r="C17" s="114"/>
    </row>
    <row r="18" spans="1:3" ht="15.75" thickBot="1">
      <c r="A18" s="78" t="s">
        <v>94</v>
      </c>
      <c r="B18" s="114"/>
      <c r="C18" s="114"/>
    </row>
    <row r="19" spans="1:3" ht="15.75" customHeight="1" thickBot="1">
      <c r="A19" s="77" t="s">
        <v>95</v>
      </c>
      <c r="B19" s="114"/>
      <c r="C19" s="114"/>
    </row>
    <row r="20" spans="1:3" ht="16.5" customHeight="1" thickBot="1">
      <c r="A20" s="77" t="s">
        <v>96</v>
      </c>
      <c r="B20" s="115"/>
      <c r="C20" s="115"/>
    </row>
    <row r="21" spans="1:3" ht="20.25" customHeight="1" thickBot="1">
      <c r="A21" s="76" t="s">
        <v>97</v>
      </c>
      <c r="B21" s="79">
        <v>11.25</v>
      </c>
      <c r="C21" s="79">
        <f>B21*E4*12</f>
        <v>294259.49999999994</v>
      </c>
    </row>
    <row r="22" spans="1:3" ht="15.75" thickBot="1">
      <c r="A22" s="80" t="s">
        <v>98</v>
      </c>
      <c r="B22" s="81">
        <v>1.65</v>
      </c>
      <c r="C22" s="81">
        <f>B22*E4*12</f>
        <v>43158.06</v>
      </c>
    </row>
    <row r="23" spans="1:3" ht="42.75" customHeight="1" thickBot="1">
      <c r="A23" s="82" t="s">
        <v>99</v>
      </c>
      <c r="B23" s="83">
        <v>4.8099999999999996</v>
      </c>
      <c r="C23" s="83">
        <f>B23*E4*12</f>
        <v>125812.28399999999</v>
      </c>
    </row>
    <row r="24" spans="1:3" ht="19.5" customHeight="1">
      <c r="A24" s="106" t="s">
        <v>100</v>
      </c>
      <c r="B24" s="108">
        <v>3.54</v>
      </c>
      <c r="C24" s="108">
        <f>B24*E4*12</f>
        <v>92593.655999999988</v>
      </c>
    </row>
    <row r="25" spans="1:3" ht="15.75" hidden="1" customHeight="1">
      <c r="A25" s="107"/>
      <c r="B25" s="109"/>
      <c r="C25" s="109"/>
    </row>
    <row r="26" spans="1:3" ht="15.75" thickBot="1">
      <c r="A26" s="82" t="s">
        <v>101</v>
      </c>
      <c r="B26" s="81">
        <v>1.25</v>
      </c>
      <c r="C26" s="81">
        <f>B26*E4*12</f>
        <v>32695.5</v>
      </c>
    </row>
    <row r="27" spans="1:3" ht="15.75" thickBot="1">
      <c r="A27" s="84" t="s">
        <v>102</v>
      </c>
      <c r="B27" s="85">
        <v>20.18</v>
      </c>
      <c r="C27" s="85">
        <f>C26+C24+C23+C22+C16+C5</f>
        <v>527836.152</v>
      </c>
    </row>
    <row r="28" spans="1:3" ht="15.75" thickBot="1">
      <c r="A28" s="86" t="s">
        <v>103</v>
      </c>
      <c r="B28" s="87">
        <v>2.02</v>
      </c>
      <c r="C28" s="87">
        <f>B28*E4*12</f>
        <v>52835.928</v>
      </c>
    </row>
    <row r="29" spans="1:3" ht="15.75" thickBot="1">
      <c r="A29" s="84" t="s">
        <v>104</v>
      </c>
      <c r="B29" s="88">
        <v>22.2</v>
      </c>
      <c r="C29" s="88">
        <f>C28+C27</f>
        <v>580672.07999999996</v>
      </c>
    </row>
    <row r="30" spans="1:3">
      <c r="A30" s="89"/>
    </row>
  </sheetData>
  <mergeCells count="8">
    <mergeCell ref="A1:E1"/>
    <mergeCell ref="B5:B15"/>
    <mergeCell ref="B16:B20"/>
    <mergeCell ref="A24:A25"/>
    <mergeCell ref="B24:B25"/>
    <mergeCell ref="C5:C15"/>
    <mergeCell ref="C16:C20"/>
    <mergeCell ref="C24:C25"/>
  </mergeCells>
  <phoneticPr fontId="6" type="noConversion"/>
  <pageMargins left="0.75" right="0.75" top="1" bottom="1" header="0.5" footer="0.5"/>
  <headerFooter alignWithMargins="0"/>
</worksheet>
</file>

<file path=xl/worksheets/sheet13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30"/>
  <sheetViews>
    <sheetView workbookViewId="0">
      <selection activeCell="G18" sqref="G18"/>
    </sheetView>
  </sheetViews>
  <sheetFormatPr defaultRowHeight="15"/>
  <cols>
    <col min="1" max="1" width="77" customWidth="1"/>
    <col min="2" max="2" width="15.7109375" customWidth="1"/>
    <col min="3" max="3" width="15.28515625" customWidth="1"/>
    <col min="5" max="5" width="0" hidden="1" customWidth="1"/>
    <col min="257" max="257" width="77" customWidth="1"/>
    <col min="258" max="258" width="35.28515625" customWidth="1"/>
    <col min="513" max="513" width="77" customWidth="1"/>
    <col min="514" max="514" width="35.28515625" customWidth="1"/>
    <col min="769" max="769" width="77" customWidth="1"/>
    <col min="770" max="770" width="35.28515625" customWidth="1"/>
    <col min="1025" max="1025" width="77" customWidth="1"/>
    <col min="1026" max="1026" width="35.28515625" customWidth="1"/>
    <col min="1281" max="1281" width="77" customWidth="1"/>
    <col min="1282" max="1282" width="35.28515625" customWidth="1"/>
    <col min="1537" max="1537" width="77" customWidth="1"/>
    <col min="1538" max="1538" width="35.28515625" customWidth="1"/>
    <col min="1793" max="1793" width="77" customWidth="1"/>
    <col min="1794" max="1794" width="35.28515625" customWidth="1"/>
    <col min="2049" max="2049" width="77" customWidth="1"/>
    <col min="2050" max="2050" width="35.28515625" customWidth="1"/>
    <col min="2305" max="2305" width="77" customWidth="1"/>
    <col min="2306" max="2306" width="35.28515625" customWidth="1"/>
    <col min="2561" max="2561" width="77" customWidth="1"/>
    <col min="2562" max="2562" width="35.28515625" customWidth="1"/>
    <col min="2817" max="2817" width="77" customWidth="1"/>
    <col min="2818" max="2818" width="35.28515625" customWidth="1"/>
    <col min="3073" max="3073" width="77" customWidth="1"/>
    <col min="3074" max="3074" width="35.28515625" customWidth="1"/>
    <col min="3329" max="3329" width="77" customWidth="1"/>
    <col min="3330" max="3330" width="35.28515625" customWidth="1"/>
    <col min="3585" max="3585" width="77" customWidth="1"/>
    <col min="3586" max="3586" width="35.28515625" customWidth="1"/>
    <col min="3841" max="3841" width="77" customWidth="1"/>
    <col min="3842" max="3842" width="35.28515625" customWidth="1"/>
    <col min="4097" max="4097" width="77" customWidth="1"/>
    <col min="4098" max="4098" width="35.28515625" customWidth="1"/>
    <col min="4353" max="4353" width="77" customWidth="1"/>
    <col min="4354" max="4354" width="35.28515625" customWidth="1"/>
    <col min="4609" max="4609" width="77" customWidth="1"/>
    <col min="4610" max="4610" width="35.28515625" customWidth="1"/>
    <col min="4865" max="4865" width="77" customWidth="1"/>
    <col min="4866" max="4866" width="35.28515625" customWidth="1"/>
    <col min="5121" max="5121" width="77" customWidth="1"/>
    <col min="5122" max="5122" width="35.28515625" customWidth="1"/>
    <col min="5377" max="5377" width="77" customWidth="1"/>
    <col min="5378" max="5378" width="35.28515625" customWidth="1"/>
    <col min="5633" max="5633" width="77" customWidth="1"/>
    <col min="5634" max="5634" width="35.28515625" customWidth="1"/>
    <col min="5889" max="5889" width="77" customWidth="1"/>
    <col min="5890" max="5890" width="35.28515625" customWidth="1"/>
    <col min="6145" max="6145" width="77" customWidth="1"/>
    <col min="6146" max="6146" width="35.28515625" customWidth="1"/>
    <col min="6401" max="6401" width="77" customWidth="1"/>
    <col min="6402" max="6402" width="35.28515625" customWidth="1"/>
    <col min="6657" max="6657" width="77" customWidth="1"/>
    <col min="6658" max="6658" width="35.28515625" customWidth="1"/>
    <col min="6913" max="6913" width="77" customWidth="1"/>
    <col min="6914" max="6914" width="35.28515625" customWidth="1"/>
    <col min="7169" max="7169" width="77" customWidth="1"/>
    <col min="7170" max="7170" width="35.28515625" customWidth="1"/>
    <col min="7425" max="7425" width="77" customWidth="1"/>
    <col min="7426" max="7426" width="35.28515625" customWidth="1"/>
    <col min="7681" max="7681" width="77" customWidth="1"/>
    <col min="7682" max="7682" width="35.28515625" customWidth="1"/>
    <col min="7937" max="7937" width="77" customWidth="1"/>
    <col min="7938" max="7938" width="35.28515625" customWidth="1"/>
    <col min="8193" max="8193" width="77" customWidth="1"/>
    <col min="8194" max="8194" width="35.28515625" customWidth="1"/>
    <col min="8449" max="8449" width="77" customWidth="1"/>
    <col min="8450" max="8450" width="35.28515625" customWidth="1"/>
    <col min="8705" max="8705" width="77" customWidth="1"/>
    <col min="8706" max="8706" width="35.28515625" customWidth="1"/>
    <col min="8961" max="8961" width="77" customWidth="1"/>
    <col min="8962" max="8962" width="35.28515625" customWidth="1"/>
    <col min="9217" max="9217" width="77" customWidth="1"/>
    <col min="9218" max="9218" width="35.28515625" customWidth="1"/>
    <col min="9473" max="9473" width="77" customWidth="1"/>
    <col min="9474" max="9474" width="35.28515625" customWidth="1"/>
    <col min="9729" max="9729" width="77" customWidth="1"/>
    <col min="9730" max="9730" width="35.28515625" customWidth="1"/>
    <col min="9985" max="9985" width="77" customWidth="1"/>
    <col min="9986" max="9986" width="35.28515625" customWidth="1"/>
    <col min="10241" max="10241" width="77" customWidth="1"/>
    <col min="10242" max="10242" width="35.28515625" customWidth="1"/>
    <col min="10497" max="10497" width="77" customWidth="1"/>
    <col min="10498" max="10498" width="35.28515625" customWidth="1"/>
    <col min="10753" max="10753" width="77" customWidth="1"/>
    <col min="10754" max="10754" width="35.28515625" customWidth="1"/>
    <col min="11009" max="11009" width="77" customWidth="1"/>
    <col min="11010" max="11010" width="35.28515625" customWidth="1"/>
    <col min="11265" max="11265" width="77" customWidth="1"/>
    <col min="11266" max="11266" width="35.28515625" customWidth="1"/>
    <col min="11521" max="11521" width="77" customWidth="1"/>
    <col min="11522" max="11522" width="35.28515625" customWidth="1"/>
    <col min="11777" max="11777" width="77" customWidth="1"/>
    <col min="11778" max="11778" width="35.28515625" customWidth="1"/>
    <col min="12033" max="12033" width="77" customWidth="1"/>
    <col min="12034" max="12034" width="35.28515625" customWidth="1"/>
    <col min="12289" max="12289" width="77" customWidth="1"/>
    <col min="12290" max="12290" width="35.28515625" customWidth="1"/>
    <col min="12545" max="12545" width="77" customWidth="1"/>
    <col min="12546" max="12546" width="35.28515625" customWidth="1"/>
    <col min="12801" max="12801" width="77" customWidth="1"/>
    <col min="12802" max="12802" width="35.28515625" customWidth="1"/>
    <col min="13057" max="13057" width="77" customWidth="1"/>
    <col min="13058" max="13058" width="35.28515625" customWidth="1"/>
    <col min="13313" max="13313" width="77" customWidth="1"/>
    <col min="13314" max="13314" width="35.28515625" customWidth="1"/>
    <col min="13569" max="13569" width="77" customWidth="1"/>
    <col min="13570" max="13570" width="35.28515625" customWidth="1"/>
    <col min="13825" max="13825" width="77" customWidth="1"/>
    <col min="13826" max="13826" width="35.28515625" customWidth="1"/>
    <col min="14081" max="14081" width="77" customWidth="1"/>
    <col min="14082" max="14082" width="35.28515625" customWidth="1"/>
    <col min="14337" max="14337" width="77" customWidth="1"/>
    <col min="14338" max="14338" width="35.28515625" customWidth="1"/>
    <col min="14593" max="14593" width="77" customWidth="1"/>
    <col min="14594" max="14594" width="35.28515625" customWidth="1"/>
    <col min="14849" max="14849" width="77" customWidth="1"/>
    <col min="14850" max="14850" width="35.28515625" customWidth="1"/>
    <col min="15105" max="15105" width="77" customWidth="1"/>
    <col min="15106" max="15106" width="35.28515625" customWidth="1"/>
    <col min="15361" max="15361" width="77" customWidth="1"/>
    <col min="15362" max="15362" width="35.28515625" customWidth="1"/>
    <col min="15617" max="15617" width="77" customWidth="1"/>
    <col min="15618" max="15618" width="35.28515625" customWidth="1"/>
    <col min="15873" max="15873" width="77" customWidth="1"/>
    <col min="15874" max="15874" width="35.28515625" customWidth="1"/>
    <col min="16129" max="16129" width="77" customWidth="1"/>
    <col min="16130" max="16130" width="35.28515625" customWidth="1"/>
  </cols>
  <sheetData>
    <row r="1" spans="1:5">
      <c r="A1" s="90" t="s">
        <v>26</v>
      </c>
      <c r="B1" s="90"/>
      <c r="C1" s="90"/>
      <c r="D1" s="90"/>
      <c r="E1" s="90"/>
    </row>
    <row r="3" spans="1:5" ht="15.75" thickBot="1"/>
    <row r="4" spans="1:5" ht="30.75" customHeight="1" thickBot="1">
      <c r="A4" s="74" t="s">
        <v>79</v>
      </c>
      <c r="B4" s="75" t="s">
        <v>80</v>
      </c>
      <c r="C4" s="75" t="s">
        <v>105</v>
      </c>
      <c r="E4">
        <v>2169.6</v>
      </c>
    </row>
    <row r="5" spans="1:5" ht="60" customHeight="1" thickBot="1">
      <c r="A5" s="76" t="s">
        <v>81</v>
      </c>
      <c r="B5" s="110">
        <v>4.01</v>
      </c>
      <c r="C5" s="110">
        <f>B5*E4*12</f>
        <v>104401.152</v>
      </c>
    </row>
    <row r="6" spans="1:5" ht="15.75" thickBot="1">
      <c r="A6" s="77" t="s">
        <v>82</v>
      </c>
      <c r="B6" s="111"/>
      <c r="C6" s="111"/>
    </row>
    <row r="7" spans="1:5" ht="15.75" thickBot="1">
      <c r="A7" s="77" t="s">
        <v>83</v>
      </c>
      <c r="B7" s="111"/>
      <c r="C7" s="111"/>
    </row>
    <row r="8" spans="1:5" ht="15.75" thickBot="1">
      <c r="A8" s="77" t="s">
        <v>84</v>
      </c>
      <c r="B8" s="111"/>
      <c r="C8" s="111"/>
    </row>
    <row r="9" spans="1:5" ht="15.75" thickBot="1">
      <c r="A9" s="77" t="s">
        <v>85</v>
      </c>
      <c r="B9" s="111"/>
      <c r="C9" s="111"/>
    </row>
    <row r="10" spans="1:5" ht="15.75" thickBot="1">
      <c r="A10" s="77" t="s">
        <v>86</v>
      </c>
      <c r="B10" s="111"/>
      <c r="C10" s="111"/>
    </row>
    <row r="11" spans="1:5" ht="15.75" thickBot="1">
      <c r="A11" s="77" t="s">
        <v>87</v>
      </c>
      <c r="B11" s="111"/>
      <c r="C11" s="111"/>
    </row>
    <row r="12" spans="1:5" ht="17.25" customHeight="1" thickBot="1">
      <c r="A12" s="77" t="s">
        <v>88</v>
      </c>
      <c r="B12" s="111"/>
      <c r="C12" s="111"/>
    </row>
    <row r="13" spans="1:5" ht="18" customHeight="1" thickBot="1">
      <c r="A13" s="77" t="s">
        <v>89</v>
      </c>
      <c r="B13" s="111"/>
      <c r="C13" s="111"/>
    </row>
    <row r="14" spans="1:5" ht="15.75" thickBot="1">
      <c r="A14" s="77" t="s">
        <v>90</v>
      </c>
      <c r="B14" s="111"/>
      <c r="C14" s="111"/>
    </row>
    <row r="15" spans="1:5" ht="15.75" thickBot="1">
      <c r="A15" s="77" t="s">
        <v>91</v>
      </c>
      <c r="B15" s="112"/>
      <c r="C15" s="112"/>
    </row>
    <row r="16" spans="1:5" ht="31.5" customHeight="1" thickBot="1">
      <c r="A16" s="76" t="s">
        <v>92</v>
      </c>
      <c r="B16" s="113">
        <v>4.92</v>
      </c>
      <c r="C16" s="113">
        <f>B16*E4*12</f>
        <v>128093.18399999998</v>
      </c>
    </row>
    <row r="17" spans="1:3" ht="15.75" thickBot="1">
      <c r="A17" s="78" t="s">
        <v>93</v>
      </c>
      <c r="B17" s="114"/>
      <c r="C17" s="114"/>
    </row>
    <row r="18" spans="1:3" ht="15.75" thickBot="1">
      <c r="A18" s="78" t="s">
        <v>94</v>
      </c>
      <c r="B18" s="114"/>
      <c r="C18" s="114"/>
    </row>
    <row r="19" spans="1:3" ht="15.75" customHeight="1" thickBot="1">
      <c r="A19" s="77" t="s">
        <v>95</v>
      </c>
      <c r="B19" s="114"/>
      <c r="C19" s="114"/>
    </row>
    <row r="20" spans="1:3" ht="16.5" customHeight="1" thickBot="1">
      <c r="A20" s="77" t="s">
        <v>96</v>
      </c>
      <c r="B20" s="115"/>
      <c r="C20" s="115"/>
    </row>
    <row r="21" spans="1:3" ht="20.25" customHeight="1" thickBot="1">
      <c r="A21" s="76" t="s">
        <v>97</v>
      </c>
      <c r="B21" s="79">
        <v>11.25</v>
      </c>
      <c r="C21" s="79">
        <f>B21*E4*12</f>
        <v>292896</v>
      </c>
    </row>
    <row r="22" spans="1:3" ht="15.75" thickBot="1">
      <c r="A22" s="80" t="s">
        <v>98</v>
      </c>
      <c r="B22" s="81">
        <v>1.65</v>
      </c>
      <c r="C22" s="81">
        <f>B22*E4*12</f>
        <v>42958.079999999994</v>
      </c>
    </row>
    <row r="23" spans="1:3" ht="42.75" customHeight="1" thickBot="1">
      <c r="A23" s="82" t="s">
        <v>99</v>
      </c>
      <c r="B23" s="83">
        <v>4.8099999999999996</v>
      </c>
      <c r="C23" s="83">
        <f>B23*E4*12</f>
        <v>125229.31199999998</v>
      </c>
    </row>
    <row r="24" spans="1:3" ht="19.5" customHeight="1">
      <c r="A24" s="106" t="s">
        <v>100</v>
      </c>
      <c r="B24" s="108">
        <v>3.54</v>
      </c>
      <c r="C24" s="108">
        <f>B24*E4*12</f>
        <v>92164.608000000007</v>
      </c>
    </row>
    <row r="25" spans="1:3" ht="15.75" hidden="1" customHeight="1">
      <c r="A25" s="107"/>
      <c r="B25" s="109"/>
      <c r="C25" s="109"/>
    </row>
    <row r="26" spans="1:3" ht="15.75" thickBot="1">
      <c r="A26" s="82" t="s">
        <v>101</v>
      </c>
      <c r="B26" s="81">
        <v>1.25</v>
      </c>
      <c r="C26" s="81">
        <f>B26*E4*12</f>
        <v>32544</v>
      </c>
    </row>
    <row r="27" spans="1:3" ht="15.75" thickBot="1">
      <c r="A27" s="84" t="s">
        <v>102</v>
      </c>
      <c r="B27" s="85">
        <v>20.18</v>
      </c>
      <c r="C27" s="85">
        <f>C26+C24+C23+C22+C16+C5</f>
        <v>525390.33600000001</v>
      </c>
    </row>
    <row r="28" spans="1:3" ht="15.75" thickBot="1">
      <c r="A28" s="86" t="s">
        <v>103</v>
      </c>
      <c r="B28" s="87">
        <v>2.02</v>
      </c>
      <c r="C28" s="87">
        <f>B28*E4*12</f>
        <v>52591.103999999992</v>
      </c>
    </row>
    <row r="29" spans="1:3" ht="15.75" thickBot="1">
      <c r="A29" s="84" t="s">
        <v>104</v>
      </c>
      <c r="B29" s="88">
        <v>22.2</v>
      </c>
      <c r="C29" s="88">
        <f>C28+C27</f>
        <v>577981.43999999994</v>
      </c>
    </row>
    <row r="30" spans="1:3">
      <c r="A30" s="89"/>
    </row>
  </sheetData>
  <mergeCells count="8">
    <mergeCell ref="A1:E1"/>
    <mergeCell ref="B5:B15"/>
    <mergeCell ref="B16:B20"/>
    <mergeCell ref="A24:A25"/>
    <mergeCell ref="B24:B25"/>
    <mergeCell ref="C5:C15"/>
    <mergeCell ref="C16:C20"/>
    <mergeCell ref="C24:C25"/>
  </mergeCells>
  <phoneticPr fontId="6" type="noConversion"/>
  <pageMargins left="0.75" right="0.75" top="1" bottom="1" header="0.5" footer="0.5"/>
  <headerFooter alignWithMargins="0"/>
</worksheet>
</file>

<file path=xl/worksheets/sheet132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30"/>
  <sheetViews>
    <sheetView workbookViewId="0">
      <selection activeCell="E2" sqref="E1:E1048576"/>
    </sheetView>
  </sheetViews>
  <sheetFormatPr defaultRowHeight="15"/>
  <cols>
    <col min="1" max="1" width="77" customWidth="1"/>
    <col min="2" max="2" width="15.7109375" customWidth="1"/>
    <col min="3" max="3" width="15.28515625" customWidth="1"/>
    <col min="5" max="5" width="0" hidden="1" customWidth="1"/>
    <col min="257" max="257" width="77" customWidth="1"/>
    <col min="258" max="258" width="35.28515625" customWidth="1"/>
    <col min="513" max="513" width="77" customWidth="1"/>
    <col min="514" max="514" width="35.28515625" customWidth="1"/>
    <col min="769" max="769" width="77" customWidth="1"/>
    <col min="770" max="770" width="35.28515625" customWidth="1"/>
    <col min="1025" max="1025" width="77" customWidth="1"/>
    <col min="1026" max="1026" width="35.28515625" customWidth="1"/>
    <col min="1281" max="1281" width="77" customWidth="1"/>
    <col min="1282" max="1282" width="35.28515625" customWidth="1"/>
    <col min="1537" max="1537" width="77" customWidth="1"/>
    <col min="1538" max="1538" width="35.28515625" customWidth="1"/>
    <col min="1793" max="1793" width="77" customWidth="1"/>
    <col min="1794" max="1794" width="35.28515625" customWidth="1"/>
    <col min="2049" max="2049" width="77" customWidth="1"/>
    <col min="2050" max="2050" width="35.28515625" customWidth="1"/>
    <col min="2305" max="2305" width="77" customWidth="1"/>
    <col min="2306" max="2306" width="35.28515625" customWidth="1"/>
    <col min="2561" max="2561" width="77" customWidth="1"/>
    <col min="2562" max="2562" width="35.28515625" customWidth="1"/>
    <col min="2817" max="2817" width="77" customWidth="1"/>
    <col min="2818" max="2818" width="35.28515625" customWidth="1"/>
    <col min="3073" max="3073" width="77" customWidth="1"/>
    <col min="3074" max="3074" width="35.28515625" customWidth="1"/>
    <col min="3329" max="3329" width="77" customWidth="1"/>
    <col min="3330" max="3330" width="35.28515625" customWidth="1"/>
    <col min="3585" max="3585" width="77" customWidth="1"/>
    <col min="3586" max="3586" width="35.28515625" customWidth="1"/>
    <col min="3841" max="3841" width="77" customWidth="1"/>
    <col min="3842" max="3842" width="35.28515625" customWidth="1"/>
    <col min="4097" max="4097" width="77" customWidth="1"/>
    <col min="4098" max="4098" width="35.28515625" customWidth="1"/>
    <col min="4353" max="4353" width="77" customWidth="1"/>
    <col min="4354" max="4354" width="35.28515625" customWidth="1"/>
    <col min="4609" max="4609" width="77" customWidth="1"/>
    <col min="4610" max="4610" width="35.28515625" customWidth="1"/>
    <col min="4865" max="4865" width="77" customWidth="1"/>
    <col min="4866" max="4866" width="35.28515625" customWidth="1"/>
    <col min="5121" max="5121" width="77" customWidth="1"/>
    <col min="5122" max="5122" width="35.28515625" customWidth="1"/>
    <col min="5377" max="5377" width="77" customWidth="1"/>
    <col min="5378" max="5378" width="35.28515625" customWidth="1"/>
    <col min="5633" max="5633" width="77" customWidth="1"/>
    <col min="5634" max="5634" width="35.28515625" customWidth="1"/>
    <col min="5889" max="5889" width="77" customWidth="1"/>
    <col min="5890" max="5890" width="35.28515625" customWidth="1"/>
    <col min="6145" max="6145" width="77" customWidth="1"/>
    <col min="6146" max="6146" width="35.28515625" customWidth="1"/>
    <col min="6401" max="6401" width="77" customWidth="1"/>
    <col min="6402" max="6402" width="35.28515625" customWidth="1"/>
    <col min="6657" max="6657" width="77" customWidth="1"/>
    <col min="6658" max="6658" width="35.28515625" customWidth="1"/>
    <col min="6913" max="6913" width="77" customWidth="1"/>
    <col min="6914" max="6914" width="35.28515625" customWidth="1"/>
    <col min="7169" max="7169" width="77" customWidth="1"/>
    <col min="7170" max="7170" width="35.28515625" customWidth="1"/>
    <col min="7425" max="7425" width="77" customWidth="1"/>
    <col min="7426" max="7426" width="35.28515625" customWidth="1"/>
    <col min="7681" max="7681" width="77" customWidth="1"/>
    <col min="7682" max="7682" width="35.28515625" customWidth="1"/>
    <col min="7937" max="7937" width="77" customWidth="1"/>
    <col min="7938" max="7938" width="35.28515625" customWidth="1"/>
    <col min="8193" max="8193" width="77" customWidth="1"/>
    <col min="8194" max="8194" width="35.28515625" customWidth="1"/>
    <col min="8449" max="8449" width="77" customWidth="1"/>
    <col min="8450" max="8450" width="35.28515625" customWidth="1"/>
    <col min="8705" max="8705" width="77" customWidth="1"/>
    <col min="8706" max="8706" width="35.28515625" customWidth="1"/>
    <col min="8961" max="8961" width="77" customWidth="1"/>
    <col min="8962" max="8962" width="35.28515625" customWidth="1"/>
    <col min="9217" max="9217" width="77" customWidth="1"/>
    <col min="9218" max="9218" width="35.28515625" customWidth="1"/>
    <col min="9473" max="9473" width="77" customWidth="1"/>
    <col min="9474" max="9474" width="35.28515625" customWidth="1"/>
    <col min="9729" max="9729" width="77" customWidth="1"/>
    <col min="9730" max="9730" width="35.28515625" customWidth="1"/>
    <col min="9985" max="9985" width="77" customWidth="1"/>
    <col min="9986" max="9986" width="35.28515625" customWidth="1"/>
    <col min="10241" max="10241" width="77" customWidth="1"/>
    <col min="10242" max="10242" width="35.28515625" customWidth="1"/>
    <col min="10497" max="10497" width="77" customWidth="1"/>
    <col min="10498" max="10498" width="35.28515625" customWidth="1"/>
    <col min="10753" max="10753" width="77" customWidth="1"/>
    <col min="10754" max="10754" width="35.28515625" customWidth="1"/>
    <col min="11009" max="11009" width="77" customWidth="1"/>
    <col min="11010" max="11010" width="35.28515625" customWidth="1"/>
    <col min="11265" max="11265" width="77" customWidth="1"/>
    <col min="11266" max="11266" width="35.28515625" customWidth="1"/>
    <col min="11521" max="11521" width="77" customWidth="1"/>
    <col min="11522" max="11522" width="35.28515625" customWidth="1"/>
    <col min="11777" max="11777" width="77" customWidth="1"/>
    <col min="11778" max="11778" width="35.28515625" customWidth="1"/>
    <col min="12033" max="12033" width="77" customWidth="1"/>
    <col min="12034" max="12034" width="35.28515625" customWidth="1"/>
    <col min="12289" max="12289" width="77" customWidth="1"/>
    <col min="12290" max="12290" width="35.28515625" customWidth="1"/>
    <col min="12545" max="12545" width="77" customWidth="1"/>
    <col min="12546" max="12546" width="35.28515625" customWidth="1"/>
    <col min="12801" max="12801" width="77" customWidth="1"/>
    <col min="12802" max="12802" width="35.28515625" customWidth="1"/>
    <col min="13057" max="13057" width="77" customWidth="1"/>
    <col min="13058" max="13058" width="35.28515625" customWidth="1"/>
    <col min="13313" max="13313" width="77" customWidth="1"/>
    <col min="13314" max="13314" width="35.28515625" customWidth="1"/>
    <col min="13569" max="13569" width="77" customWidth="1"/>
    <col min="13570" max="13570" width="35.28515625" customWidth="1"/>
    <col min="13825" max="13825" width="77" customWidth="1"/>
    <col min="13826" max="13826" width="35.28515625" customWidth="1"/>
    <col min="14081" max="14081" width="77" customWidth="1"/>
    <col min="14082" max="14082" width="35.28515625" customWidth="1"/>
    <col min="14337" max="14337" width="77" customWidth="1"/>
    <col min="14338" max="14338" width="35.28515625" customWidth="1"/>
    <col min="14593" max="14593" width="77" customWidth="1"/>
    <col min="14594" max="14594" width="35.28515625" customWidth="1"/>
    <col min="14849" max="14849" width="77" customWidth="1"/>
    <col min="14850" max="14850" width="35.28515625" customWidth="1"/>
    <col min="15105" max="15105" width="77" customWidth="1"/>
    <col min="15106" max="15106" width="35.28515625" customWidth="1"/>
    <col min="15361" max="15361" width="77" customWidth="1"/>
    <col min="15362" max="15362" width="35.28515625" customWidth="1"/>
    <col min="15617" max="15617" width="77" customWidth="1"/>
    <col min="15618" max="15618" width="35.28515625" customWidth="1"/>
    <col min="15873" max="15873" width="77" customWidth="1"/>
    <col min="15874" max="15874" width="35.28515625" customWidth="1"/>
    <col min="16129" max="16129" width="77" customWidth="1"/>
    <col min="16130" max="16130" width="35.28515625" customWidth="1"/>
  </cols>
  <sheetData>
    <row r="1" spans="1:5">
      <c r="A1" s="90" t="s">
        <v>26</v>
      </c>
      <c r="B1" s="90"/>
      <c r="C1" s="90"/>
      <c r="D1" s="90"/>
      <c r="E1" s="90"/>
    </row>
    <row r="3" spans="1:5" ht="15.75" thickBot="1"/>
    <row r="4" spans="1:5" ht="30.75" customHeight="1" thickBot="1">
      <c r="A4" s="74" t="s">
        <v>79</v>
      </c>
      <c r="B4" s="75" t="s">
        <v>80</v>
      </c>
      <c r="C4" s="75" t="s">
        <v>105</v>
      </c>
      <c r="E4">
        <v>2570.9</v>
      </c>
    </row>
    <row r="5" spans="1:5" ht="60" customHeight="1" thickBot="1">
      <c r="A5" s="76" t="s">
        <v>81</v>
      </c>
      <c r="B5" s="110">
        <v>4.01</v>
      </c>
      <c r="C5" s="110">
        <f>B5*E4*12</f>
        <v>123711.70799999998</v>
      </c>
    </row>
    <row r="6" spans="1:5" ht="15.75" thickBot="1">
      <c r="A6" s="77" t="s">
        <v>82</v>
      </c>
      <c r="B6" s="111"/>
      <c r="C6" s="111"/>
    </row>
    <row r="7" spans="1:5" ht="15.75" thickBot="1">
      <c r="A7" s="77" t="s">
        <v>83</v>
      </c>
      <c r="B7" s="111"/>
      <c r="C7" s="111"/>
    </row>
    <row r="8" spans="1:5" ht="15.75" thickBot="1">
      <c r="A8" s="77" t="s">
        <v>84</v>
      </c>
      <c r="B8" s="111"/>
      <c r="C8" s="111"/>
    </row>
    <row r="9" spans="1:5" ht="15.75" thickBot="1">
      <c r="A9" s="77" t="s">
        <v>85</v>
      </c>
      <c r="B9" s="111"/>
      <c r="C9" s="111"/>
    </row>
    <row r="10" spans="1:5" ht="15.75" thickBot="1">
      <c r="A10" s="77" t="s">
        <v>86</v>
      </c>
      <c r="B10" s="111"/>
      <c r="C10" s="111"/>
    </row>
    <row r="11" spans="1:5" ht="15.75" thickBot="1">
      <c r="A11" s="77" t="s">
        <v>87</v>
      </c>
      <c r="B11" s="111"/>
      <c r="C11" s="111"/>
    </row>
    <row r="12" spans="1:5" ht="17.25" customHeight="1" thickBot="1">
      <c r="A12" s="77" t="s">
        <v>88</v>
      </c>
      <c r="B12" s="111"/>
      <c r="C12" s="111"/>
    </row>
    <row r="13" spans="1:5" ht="18" customHeight="1" thickBot="1">
      <c r="A13" s="77" t="s">
        <v>89</v>
      </c>
      <c r="B13" s="111"/>
      <c r="C13" s="111"/>
    </row>
    <row r="14" spans="1:5" ht="15.75" thickBot="1">
      <c r="A14" s="77" t="s">
        <v>90</v>
      </c>
      <c r="B14" s="111"/>
      <c r="C14" s="111"/>
    </row>
    <row r="15" spans="1:5" ht="15.75" thickBot="1">
      <c r="A15" s="77" t="s">
        <v>91</v>
      </c>
      <c r="B15" s="112"/>
      <c r="C15" s="112"/>
    </row>
    <row r="16" spans="1:5" ht="31.5" customHeight="1" thickBot="1">
      <c r="A16" s="76" t="s">
        <v>92</v>
      </c>
      <c r="B16" s="113">
        <v>4.92</v>
      </c>
      <c r="C16" s="113">
        <f>B16*E4*12</f>
        <v>151785.93599999999</v>
      </c>
    </row>
    <row r="17" spans="1:3" ht="15.75" thickBot="1">
      <c r="A17" s="78" t="s">
        <v>93</v>
      </c>
      <c r="B17" s="114"/>
      <c r="C17" s="114"/>
    </row>
    <row r="18" spans="1:3" ht="15.75" thickBot="1">
      <c r="A18" s="78" t="s">
        <v>94</v>
      </c>
      <c r="B18" s="114"/>
      <c r="C18" s="114"/>
    </row>
    <row r="19" spans="1:3" ht="15.75" customHeight="1" thickBot="1">
      <c r="A19" s="77" t="s">
        <v>95</v>
      </c>
      <c r="B19" s="114"/>
      <c r="C19" s="114"/>
    </row>
    <row r="20" spans="1:3" ht="16.5" customHeight="1" thickBot="1">
      <c r="A20" s="77" t="s">
        <v>96</v>
      </c>
      <c r="B20" s="115"/>
      <c r="C20" s="115"/>
    </row>
    <row r="21" spans="1:3" ht="20.25" customHeight="1" thickBot="1">
      <c r="A21" s="76" t="s">
        <v>97</v>
      </c>
      <c r="B21" s="79">
        <v>11.25</v>
      </c>
      <c r="C21" s="79">
        <f>B21*E4*12</f>
        <v>347071.5</v>
      </c>
    </row>
    <row r="22" spans="1:3" ht="15.75" thickBot="1">
      <c r="A22" s="80" t="s">
        <v>98</v>
      </c>
      <c r="B22" s="81">
        <v>1.65</v>
      </c>
      <c r="C22" s="81">
        <f>B22*E4*12</f>
        <v>50903.819999999992</v>
      </c>
    </row>
    <row r="23" spans="1:3" ht="42.75" customHeight="1" thickBot="1">
      <c r="A23" s="82" t="s">
        <v>99</v>
      </c>
      <c r="B23" s="83">
        <v>4.8099999999999996</v>
      </c>
      <c r="C23" s="83">
        <f>B23*E4*12</f>
        <v>148392.348</v>
      </c>
    </row>
    <row r="24" spans="1:3" ht="19.5" customHeight="1">
      <c r="A24" s="106" t="s">
        <v>100</v>
      </c>
      <c r="B24" s="108">
        <v>3.54</v>
      </c>
      <c r="C24" s="108">
        <f>B24*E4*12</f>
        <v>109211.83200000001</v>
      </c>
    </row>
    <row r="25" spans="1:3" ht="15.75" hidden="1" customHeight="1">
      <c r="A25" s="107"/>
      <c r="B25" s="109"/>
      <c r="C25" s="109"/>
    </row>
    <row r="26" spans="1:3" ht="15.75" thickBot="1">
      <c r="A26" s="82" t="s">
        <v>101</v>
      </c>
      <c r="B26" s="81">
        <v>1.25</v>
      </c>
      <c r="C26" s="81">
        <f>B26*E4*12</f>
        <v>38563.5</v>
      </c>
    </row>
    <row r="27" spans="1:3" ht="15.75" thickBot="1">
      <c r="A27" s="84" t="s">
        <v>102</v>
      </c>
      <c r="B27" s="85">
        <v>20.18</v>
      </c>
      <c r="C27" s="85">
        <f>C26+C24+C23+C22+C16+C5</f>
        <v>622569.14399999997</v>
      </c>
    </row>
    <row r="28" spans="1:3" ht="15.75" thickBot="1">
      <c r="A28" s="86" t="s">
        <v>103</v>
      </c>
      <c r="B28" s="87">
        <v>2.02</v>
      </c>
      <c r="C28" s="87">
        <f>B28*E4*12</f>
        <v>62318.615999999995</v>
      </c>
    </row>
    <row r="29" spans="1:3" ht="15.75" thickBot="1">
      <c r="A29" s="84" t="s">
        <v>104</v>
      </c>
      <c r="B29" s="88">
        <v>22.2</v>
      </c>
      <c r="C29" s="88">
        <f>C28+C27</f>
        <v>684887.76</v>
      </c>
    </row>
    <row r="30" spans="1:3">
      <c r="A30" s="89"/>
    </row>
  </sheetData>
  <mergeCells count="8">
    <mergeCell ref="A1:E1"/>
    <mergeCell ref="B5:B15"/>
    <mergeCell ref="B16:B20"/>
    <mergeCell ref="A24:A25"/>
    <mergeCell ref="B24:B25"/>
    <mergeCell ref="C5:C15"/>
    <mergeCell ref="C16:C20"/>
    <mergeCell ref="C24:C25"/>
  </mergeCells>
  <phoneticPr fontId="6" type="noConversion"/>
  <pageMargins left="0.75" right="0.75" top="1" bottom="1" header="0.5" footer="0.5"/>
  <headerFooter alignWithMargins="0"/>
</worksheet>
</file>

<file path=xl/worksheets/sheet133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30"/>
  <sheetViews>
    <sheetView workbookViewId="0">
      <selection activeCell="E2" sqref="E1:E1048576"/>
    </sheetView>
  </sheetViews>
  <sheetFormatPr defaultRowHeight="15"/>
  <cols>
    <col min="1" max="1" width="77" customWidth="1"/>
    <col min="2" max="2" width="15.7109375" customWidth="1"/>
    <col min="3" max="3" width="15.28515625" customWidth="1"/>
    <col min="5" max="5" width="0" hidden="1" customWidth="1"/>
    <col min="257" max="257" width="77" customWidth="1"/>
    <col min="258" max="258" width="35.28515625" customWidth="1"/>
    <col min="513" max="513" width="77" customWidth="1"/>
    <col min="514" max="514" width="35.28515625" customWidth="1"/>
    <col min="769" max="769" width="77" customWidth="1"/>
    <col min="770" max="770" width="35.28515625" customWidth="1"/>
    <col min="1025" max="1025" width="77" customWidth="1"/>
    <col min="1026" max="1026" width="35.28515625" customWidth="1"/>
    <col min="1281" max="1281" width="77" customWidth="1"/>
    <col min="1282" max="1282" width="35.28515625" customWidth="1"/>
    <col min="1537" max="1537" width="77" customWidth="1"/>
    <col min="1538" max="1538" width="35.28515625" customWidth="1"/>
    <col min="1793" max="1793" width="77" customWidth="1"/>
    <col min="1794" max="1794" width="35.28515625" customWidth="1"/>
    <col min="2049" max="2049" width="77" customWidth="1"/>
    <col min="2050" max="2050" width="35.28515625" customWidth="1"/>
    <col min="2305" max="2305" width="77" customWidth="1"/>
    <col min="2306" max="2306" width="35.28515625" customWidth="1"/>
    <col min="2561" max="2561" width="77" customWidth="1"/>
    <col min="2562" max="2562" width="35.28515625" customWidth="1"/>
    <col min="2817" max="2817" width="77" customWidth="1"/>
    <col min="2818" max="2818" width="35.28515625" customWidth="1"/>
    <col min="3073" max="3073" width="77" customWidth="1"/>
    <col min="3074" max="3074" width="35.28515625" customWidth="1"/>
    <col min="3329" max="3329" width="77" customWidth="1"/>
    <col min="3330" max="3330" width="35.28515625" customWidth="1"/>
    <col min="3585" max="3585" width="77" customWidth="1"/>
    <col min="3586" max="3586" width="35.28515625" customWidth="1"/>
    <col min="3841" max="3841" width="77" customWidth="1"/>
    <col min="3842" max="3842" width="35.28515625" customWidth="1"/>
    <col min="4097" max="4097" width="77" customWidth="1"/>
    <col min="4098" max="4098" width="35.28515625" customWidth="1"/>
    <col min="4353" max="4353" width="77" customWidth="1"/>
    <col min="4354" max="4354" width="35.28515625" customWidth="1"/>
    <col min="4609" max="4609" width="77" customWidth="1"/>
    <col min="4610" max="4610" width="35.28515625" customWidth="1"/>
    <col min="4865" max="4865" width="77" customWidth="1"/>
    <col min="4866" max="4866" width="35.28515625" customWidth="1"/>
    <col min="5121" max="5121" width="77" customWidth="1"/>
    <col min="5122" max="5122" width="35.28515625" customWidth="1"/>
    <col min="5377" max="5377" width="77" customWidth="1"/>
    <col min="5378" max="5378" width="35.28515625" customWidth="1"/>
    <col min="5633" max="5633" width="77" customWidth="1"/>
    <col min="5634" max="5634" width="35.28515625" customWidth="1"/>
    <col min="5889" max="5889" width="77" customWidth="1"/>
    <col min="5890" max="5890" width="35.28515625" customWidth="1"/>
    <col min="6145" max="6145" width="77" customWidth="1"/>
    <col min="6146" max="6146" width="35.28515625" customWidth="1"/>
    <col min="6401" max="6401" width="77" customWidth="1"/>
    <col min="6402" max="6402" width="35.28515625" customWidth="1"/>
    <col min="6657" max="6657" width="77" customWidth="1"/>
    <col min="6658" max="6658" width="35.28515625" customWidth="1"/>
    <col min="6913" max="6913" width="77" customWidth="1"/>
    <col min="6914" max="6914" width="35.28515625" customWidth="1"/>
    <col min="7169" max="7169" width="77" customWidth="1"/>
    <col min="7170" max="7170" width="35.28515625" customWidth="1"/>
    <col min="7425" max="7425" width="77" customWidth="1"/>
    <col min="7426" max="7426" width="35.28515625" customWidth="1"/>
    <col min="7681" max="7681" width="77" customWidth="1"/>
    <col min="7682" max="7682" width="35.28515625" customWidth="1"/>
    <col min="7937" max="7937" width="77" customWidth="1"/>
    <col min="7938" max="7938" width="35.28515625" customWidth="1"/>
    <col min="8193" max="8193" width="77" customWidth="1"/>
    <col min="8194" max="8194" width="35.28515625" customWidth="1"/>
    <col min="8449" max="8449" width="77" customWidth="1"/>
    <col min="8450" max="8450" width="35.28515625" customWidth="1"/>
    <col min="8705" max="8705" width="77" customWidth="1"/>
    <col min="8706" max="8706" width="35.28515625" customWidth="1"/>
    <col min="8961" max="8961" width="77" customWidth="1"/>
    <col min="8962" max="8962" width="35.28515625" customWidth="1"/>
    <col min="9217" max="9217" width="77" customWidth="1"/>
    <col min="9218" max="9218" width="35.28515625" customWidth="1"/>
    <col min="9473" max="9473" width="77" customWidth="1"/>
    <col min="9474" max="9474" width="35.28515625" customWidth="1"/>
    <col min="9729" max="9729" width="77" customWidth="1"/>
    <col min="9730" max="9730" width="35.28515625" customWidth="1"/>
    <col min="9985" max="9985" width="77" customWidth="1"/>
    <col min="9986" max="9986" width="35.28515625" customWidth="1"/>
    <col min="10241" max="10241" width="77" customWidth="1"/>
    <col min="10242" max="10242" width="35.28515625" customWidth="1"/>
    <col min="10497" max="10497" width="77" customWidth="1"/>
    <col min="10498" max="10498" width="35.28515625" customWidth="1"/>
    <col min="10753" max="10753" width="77" customWidth="1"/>
    <col min="10754" max="10754" width="35.28515625" customWidth="1"/>
    <col min="11009" max="11009" width="77" customWidth="1"/>
    <col min="11010" max="11010" width="35.28515625" customWidth="1"/>
    <col min="11265" max="11265" width="77" customWidth="1"/>
    <col min="11266" max="11266" width="35.28515625" customWidth="1"/>
    <col min="11521" max="11521" width="77" customWidth="1"/>
    <col min="11522" max="11522" width="35.28515625" customWidth="1"/>
    <col min="11777" max="11777" width="77" customWidth="1"/>
    <col min="11778" max="11778" width="35.28515625" customWidth="1"/>
    <col min="12033" max="12033" width="77" customWidth="1"/>
    <col min="12034" max="12034" width="35.28515625" customWidth="1"/>
    <col min="12289" max="12289" width="77" customWidth="1"/>
    <col min="12290" max="12290" width="35.28515625" customWidth="1"/>
    <col min="12545" max="12545" width="77" customWidth="1"/>
    <col min="12546" max="12546" width="35.28515625" customWidth="1"/>
    <col min="12801" max="12801" width="77" customWidth="1"/>
    <col min="12802" max="12802" width="35.28515625" customWidth="1"/>
    <col min="13057" max="13057" width="77" customWidth="1"/>
    <col min="13058" max="13058" width="35.28515625" customWidth="1"/>
    <col min="13313" max="13313" width="77" customWidth="1"/>
    <col min="13314" max="13314" width="35.28515625" customWidth="1"/>
    <col min="13569" max="13569" width="77" customWidth="1"/>
    <col min="13570" max="13570" width="35.28515625" customWidth="1"/>
    <col min="13825" max="13825" width="77" customWidth="1"/>
    <col min="13826" max="13826" width="35.28515625" customWidth="1"/>
    <col min="14081" max="14081" width="77" customWidth="1"/>
    <col min="14082" max="14082" width="35.28515625" customWidth="1"/>
    <col min="14337" max="14337" width="77" customWidth="1"/>
    <col min="14338" max="14338" width="35.28515625" customWidth="1"/>
    <col min="14593" max="14593" width="77" customWidth="1"/>
    <col min="14594" max="14594" width="35.28515625" customWidth="1"/>
    <col min="14849" max="14849" width="77" customWidth="1"/>
    <col min="14850" max="14850" width="35.28515625" customWidth="1"/>
    <col min="15105" max="15105" width="77" customWidth="1"/>
    <col min="15106" max="15106" width="35.28515625" customWidth="1"/>
    <col min="15361" max="15361" width="77" customWidth="1"/>
    <col min="15362" max="15362" width="35.28515625" customWidth="1"/>
    <col min="15617" max="15617" width="77" customWidth="1"/>
    <col min="15618" max="15618" width="35.28515625" customWidth="1"/>
    <col min="15873" max="15873" width="77" customWidth="1"/>
    <col min="15874" max="15874" width="35.28515625" customWidth="1"/>
    <col min="16129" max="16129" width="77" customWidth="1"/>
    <col min="16130" max="16130" width="35.28515625" customWidth="1"/>
  </cols>
  <sheetData>
    <row r="1" spans="1:5">
      <c r="A1" s="90" t="s">
        <v>26</v>
      </c>
      <c r="B1" s="90"/>
      <c r="C1" s="90"/>
      <c r="D1" s="90"/>
      <c r="E1" s="90"/>
    </row>
    <row r="3" spans="1:5" ht="15.75" thickBot="1"/>
    <row r="4" spans="1:5" ht="30.75" customHeight="1" thickBot="1">
      <c r="A4" s="74" t="s">
        <v>79</v>
      </c>
      <c r="B4" s="75" t="s">
        <v>80</v>
      </c>
      <c r="C4" s="75" t="s">
        <v>105</v>
      </c>
      <c r="E4">
        <v>2611.1999999999998</v>
      </c>
    </row>
    <row r="5" spans="1:5" ht="60" customHeight="1" thickBot="1">
      <c r="A5" s="76" t="s">
        <v>81</v>
      </c>
      <c r="B5" s="110">
        <v>4.01</v>
      </c>
      <c r="C5" s="110">
        <f>B5*E4*12</f>
        <v>125650.94399999999</v>
      </c>
    </row>
    <row r="6" spans="1:5" ht="15.75" thickBot="1">
      <c r="A6" s="77" t="s">
        <v>82</v>
      </c>
      <c r="B6" s="111"/>
      <c r="C6" s="111"/>
    </row>
    <row r="7" spans="1:5" ht="15.75" thickBot="1">
      <c r="A7" s="77" t="s">
        <v>83</v>
      </c>
      <c r="B7" s="111"/>
      <c r="C7" s="111"/>
    </row>
    <row r="8" spans="1:5" ht="15.75" thickBot="1">
      <c r="A8" s="77" t="s">
        <v>84</v>
      </c>
      <c r="B8" s="111"/>
      <c r="C8" s="111"/>
    </row>
    <row r="9" spans="1:5" ht="15.75" thickBot="1">
      <c r="A9" s="77" t="s">
        <v>85</v>
      </c>
      <c r="B9" s="111"/>
      <c r="C9" s="111"/>
    </row>
    <row r="10" spans="1:5" ht="15.75" thickBot="1">
      <c r="A10" s="77" t="s">
        <v>86</v>
      </c>
      <c r="B10" s="111"/>
      <c r="C10" s="111"/>
    </row>
    <row r="11" spans="1:5" ht="15.75" thickBot="1">
      <c r="A11" s="77" t="s">
        <v>87</v>
      </c>
      <c r="B11" s="111"/>
      <c r="C11" s="111"/>
    </row>
    <row r="12" spans="1:5" ht="17.25" customHeight="1" thickBot="1">
      <c r="A12" s="77" t="s">
        <v>88</v>
      </c>
      <c r="B12" s="111"/>
      <c r="C12" s="111"/>
    </row>
    <row r="13" spans="1:5" ht="18" customHeight="1" thickBot="1">
      <c r="A13" s="77" t="s">
        <v>89</v>
      </c>
      <c r="B13" s="111"/>
      <c r="C13" s="111"/>
    </row>
    <row r="14" spans="1:5" ht="15.75" thickBot="1">
      <c r="A14" s="77" t="s">
        <v>90</v>
      </c>
      <c r="B14" s="111"/>
      <c r="C14" s="111"/>
    </row>
    <row r="15" spans="1:5" ht="15.75" thickBot="1">
      <c r="A15" s="77" t="s">
        <v>91</v>
      </c>
      <c r="B15" s="112"/>
      <c r="C15" s="112"/>
    </row>
    <row r="16" spans="1:5" ht="31.5" customHeight="1" thickBot="1">
      <c r="A16" s="76" t="s">
        <v>92</v>
      </c>
      <c r="B16" s="113">
        <v>4.92</v>
      </c>
      <c r="C16" s="113">
        <f>B16*E4*12</f>
        <v>154165.24799999999</v>
      </c>
    </row>
    <row r="17" spans="1:3" ht="15.75" thickBot="1">
      <c r="A17" s="78" t="s">
        <v>93</v>
      </c>
      <c r="B17" s="114"/>
      <c r="C17" s="114"/>
    </row>
    <row r="18" spans="1:3" ht="15.75" thickBot="1">
      <c r="A18" s="78" t="s">
        <v>94</v>
      </c>
      <c r="B18" s="114"/>
      <c r="C18" s="114"/>
    </row>
    <row r="19" spans="1:3" ht="15.75" customHeight="1" thickBot="1">
      <c r="A19" s="77" t="s">
        <v>95</v>
      </c>
      <c r="B19" s="114"/>
      <c r="C19" s="114"/>
    </row>
    <row r="20" spans="1:3" ht="16.5" customHeight="1" thickBot="1">
      <c r="A20" s="77" t="s">
        <v>96</v>
      </c>
      <c r="B20" s="115"/>
      <c r="C20" s="115"/>
    </row>
    <row r="21" spans="1:3" ht="20.25" customHeight="1" thickBot="1">
      <c r="A21" s="76" t="s">
        <v>97</v>
      </c>
      <c r="B21" s="79">
        <v>11.25</v>
      </c>
      <c r="C21" s="79">
        <f>B21*E4*12</f>
        <v>352511.99999999994</v>
      </c>
    </row>
    <row r="22" spans="1:3" ht="15.75" thickBot="1">
      <c r="A22" s="80" t="s">
        <v>98</v>
      </c>
      <c r="B22" s="81">
        <v>1.65</v>
      </c>
      <c r="C22" s="81">
        <f>B22*E4*12</f>
        <v>51701.759999999995</v>
      </c>
    </row>
    <row r="23" spans="1:3" ht="42.75" customHeight="1" thickBot="1">
      <c r="A23" s="82" t="s">
        <v>99</v>
      </c>
      <c r="B23" s="83">
        <v>4.8099999999999996</v>
      </c>
      <c r="C23" s="83">
        <f>B23*E4*12</f>
        <v>150718.46399999998</v>
      </c>
    </row>
    <row r="24" spans="1:3" ht="19.5" customHeight="1">
      <c r="A24" s="106" t="s">
        <v>100</v>
      </c>
      <c r="B24" s="108">
        <v>3.54</v>
      </c>
      <c r="C24" s="108">
        <f>B24*E4*12</f>
        <v>110923.77599999998</v>
      </c>
    </row>
    <row r="25" spans="1:3" ht="15.75" hidden="1" customHeight="1">
      <c r="A25" s="107"/>
      <c r="B25" s="109"/>
      <c r="C25" s="109"/>
    </row>
    <row r="26" spans="1:3" ht="15.75" thickBot="1">
      <c r="A26" s="82" t="s">
        <v>101</v>
      </c>
      <c r="B26" s="81">
        <v>1.25</v>
      </c>
      <c r="C26" s="81">
        <f>B26*E4*12</f>
        <v>39168</v>
      </c>
    </row>
    <row r="27" spans="1:3" ht="15.75" thickBot="1">
      <c r="A27" s="84" t="s">
        <v>102</v>
      </c>
      <c r="B27" s="85">
        <v>20.18</v>
      </c>
      <c r="C27" s="85">
        <f>C26+C24+C23+C22+C16+C5</f>
        <v>632328.19200000004</v>
      </c>
    </row>
    <row r="28" spans="1:3" ht="15.75" thickBot="1">
      <c r="A28" s="86" t="s">
        <v>103</v>
      </c>
      <c r="B28" s="87">
        <v>2.02</v>
      </c>
      <c r="C28" s="87">
        <f>B28*E4*12</f>
        <v>63295.487999999998</v>
      </c>
    </row>
    <row r="29" spans="1:3" ht="15.75" thickBot="1">
      <c r="A29" s="84" t="s">
        <v>104</v>
      </c>
      <c r="B29" s="88">
        <v>22.2</v>
      </c>
      <c r="C29" s="88">
        <f>C28+C27</f>
        <v>695623.68000000005</v>
      </c>
    </row>
    <row r="30" spans="1:3">
      <c r="A30" s="89"/>
    </row>
  </sheetData>
  <mergeCells count="8">
    <mergeCell ref="A1:E1"/>
    <mergeCell ref="B5:B15"/>
    <mergeCell ref="B16:B20"/>
    <mergeCell ref="A24:A25"/>
    <mergeCell ref="B24:B25"/>
    <mergeCell ref="C5:C15"/>
    <mergeCell ref="C16:C20"/>
    <mergeCell ref="C24:C25"/>
  </mergeCells>
  <phoneticPr fontId="6" type="noConversion"/>
  <pageMargins left="0.75" right="0.75" top="1" bottom="1" header="0.5" footer="0.5"/>
  <headerFooter alignWithMargins="0"/>
</worksheet>
</file>

<file path=xl/worksheets/sheet134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30"/>
  <sheetViews>
    <sheetView workbookViewId="0">
      <selection activeCell="G26" sqref="G26"/>
    </sheetView>
  </sheetViews>
  <sheetFormatPr defaultRowHeight="15"/>
  <cols>
    <col min="1" max="1" width="77" customWidth="1"/>
    <col min="2" max="2" width="15.7109375" customWidth="1"/>
    <col min="3" max="3" width="15.28515625" customWidth="1"/>
    <col min="5" max="5" width="0" hidden="1" customWidth="1"/>
    <col min="257" max="257" width="77" customWidth="1"/>
    <col min="258" max="258" width="35.28515625" customWidth="1"/>
    <col min="513" max="513" width="77" customWidth="1"/>
    <col min="514" max="514" width="35.28515625" customWidth="1"/>
    <col min="769" max="769" width="77" customWidth="1"/>
    <col min="770" max="770" width="35.28515625" customWidth="1"/>
    <col min="1025" max="1025" width="77" customWidth="1"/>
    <col min="1026" max="1026" width="35.28515625" customWidth="1"/>
    <col min="1281" max="1281" width="77" customWidth="1"/>
    <col min="1282" max="1282" width="35.28515625" customWidth="1"/>
    <col min="1537" max="1537" width="77" customWidth="1"/>
    <col min="1538" max="1538" width="35.28515625" customWidth="1"/>
    <col min="1793" max="1793" width="77" customWidth="1"/>
    <col min="1794" max="1794" width="35.28515625" customWidth="1"/>
    <col min="2049" max="2049" width="77" customWidth="1"/>
    <col min="2050" max="2050" width="35.28515625" customWidth="1"/>
    <col min="2305" max="2305" width="77" customWidth="1"/>
    <col min="2306" max="2306" width="35.28515625" customWidth="1"/>
    <col min="2561" max="2561" width="77" customWidth="1"/>
    <col min="2562" max="2562" width="35.28515625" customWidth="1"/>
    <col min="2817" max="2817" width="77" customWidth="1"/>
    <col min="2818" max="2818" width="35.28515625" customWidth="1"/>
    <col min="3073" max="3073" width="77" customWidth="1"/>
    <col min="3074" max="3074" width="35.28515625" customWidth="1"/>
    <col min="3329" max="3329" width="77" customWidth="1"/>
    <col min="3330" max="3330" width="35.28515625" customWidth="1"/>
    <col min="3585" max="3585" width="77" customWidth="1"/>
    <col min="3586" max="3586" width="35.28515625" customWidth="1"/>
    <col min="3841" max="3841" width="77" customWidth="1"/>
    <col min="3842" max="3842" width="35.28515625" customWidth="1"/>
    <col min="4097" max="4097" width="77" customWidth="1"/>
    <col min="4098" max="4098" width="35.28515625" customWidth="1"/>
    <col min="4353" max="4353" width="77" customWidth="1"/>
    <col min="4354" max="4354" width="35.28515625" customWidth="1"/>
    <col min="4609" max="4609" width="77" customWidth="1"/>
    <col min="4610" max="4610" width="35.28515625" customWidth="1"/>
    <col min="4865" max="4865" width="77" customWidth="1"/>
    <col min="4866" max="4866" width="35.28515625" customWidth="1"/>
    <col min="5121" max="5121" width="77" customWidth="1"/>
    <col min="5122" max="5122" width="35.28515625" customWidth="1"/>
    <col min="5377" max="5377" width="77" customWidth="1"/>
    <col min="5378" max="5378" width="35.28515625" customWidth="1"/>
    <col min="5633" max="5633" width="77" customWidth="1"/>
    <col min="5634" max="5634" width="35.28515625" customWidth="1"/>
    <col min="5889" max="5889" width="77" customWidth="1"/>
    <col min="5890" max="5890" width="35.28515625" customWidth="1"/>
    <col min="6145" max="6145" width="77" customWidth="1"/>
    <col min="6146" max="6146" width="35.28515625" customWidth="1"/>
    <col min="6401" max="6401" width="77" customWidth="1"/>
    <col min="6402" max="6402" width="35.28515625" customWidth="1"/>
    <col min="6657" max="6657" width="77" customWidth="1"/>
    <col min="6658" max="6658" width="35.28515625" customWidth="1"/>
    <col min="6913" max="6913" width="77" customWidth="1"/>
    <col min="6914" max="6914" width="35.28515625" customWidth="1"/>
    <col min="7169" max="7169" width="77" customWidth="1"/>
    <col min="7170" max="7170" width="35.28515625" customWidth="1"/>
    <col min="7425" max="7425" width="77" customWidth="1"/>
    <col min="7426" max="7426" width="35.28515625" customWidth="1"/>
    <col min="7681" max="7681" width="77" customWidth="1"/>
    <col min="7682" max="7682" width="35.28515625" customWidth="1"/>
    <col min="7937" max="7937" width="77" customWidth="1"/>
    <col min="7938" max="7938" width="35.28515625" customWidth="1"/>
    <col min="8193" max="8193" width="77" customWidth="1"/>
    <col min="8194" max="8194" width="35.28515625" customWidth="1"/>
    <col min="8449" max="8449" width="77" customWidth="1"/>
    <col min="8450" max="8450" width="35.28515625" customWidth="1"/>
    <col min="8705" max="8705" width="77" customWidth="1"/>
    <col min="8706" max="8706" width="35.28515625" customWidth="1"/>
    <col min="8961" max="8961" width="77" customWidth="1"/>
    <col min="8962" max="8962" width="35.28515625" customWidth="1"/>
    <col min="9217" max="9217" width="77" customWidth="1"/>
    <col min="9218" max="9218" width="35.28515625" customWidth="1"/>
    <col min="9473" max="9473" width="77" customWidth="1"/>
    <col min="9474" max="9474" width="35.28515625" customWidth="1"/>
    <col min="9729" max="9729" width="77" customWidth="1"/>
    <col min="9730" max="9730" width="35.28515625" customWidth="1"/>
    <col min="9985" max="9985" width="77" customWidth="1"/>
    <col min="9986" max="9986" width="35.28515625" customWidth="1"/>
    <col min="10241" max="10241" width="77" customWidth="1"/>
    <col min="10242" max="10242" width="35.28515625" customWidth="1"/>
    <col min="10497" max="10497" width="77" customWidth="1"/>
    <col min="10498" max="10498" width="35.28515625" customWidth="1"/>
    <col min="10753" max="10753" width="77" customWidth="1"/>
    <col min="10754" max="10754" width="35.28515625" customWidth="1"/>
    <col min="11009" max="11009" width="77" customWidth="1"/>
    <col min="11010" max="11010" width="35.28515625" customWidth="1"/>
    <col min="11265" max="11265" width="77" customWidth="1"/>
    <col min="11266" max="11266" width="35.28515625" customWidth="1"/>
    <col min="11521" max="11521" width="77" customWidth="1"/>
    <col min="11522" max="11522" width="35.28515625" customWidth="1"/>
    <col min="11777" max="11777" width="77" customWidth="1"/>
    <col min="11778" max="11778" width="35.28515625" customWidth="1"/>
    <col min="12033" max="12033" width="77" customWidth="1"/>
    <col min="12034" max="12034" width="35.28515625" customWidth="1"/>
    <col min="12289" max="12289" width="77" customWidth="1"/>
    <col min="12290" max="12290" width="35.28515625" customWidth="1"/>
    <col min="12545" max="12545" width="77" customWidth="1"/>
    <col min="12546" max="12546" width="35.28515625" customWidth="1"/>
    <col min="12801" max="12801" width="77" customWidth="1"/>
    <col min="12802" max="12802" width="35.28515625" customWidth="1"/>
    <col min="13057" max="13057" width="77" customWidth="1"/>
    <col min="13058" max="13058" width="35.28515625" customWidth="1"/>
    <col min="13313" max="13313" width="77" customWidth="1"/>
    <col min="13314" max="13314" width="35.28515625" customWidth="1"/>
    <col min="13569" max="13569" width="77" customWidth="1"/>
    <col min="13570" max="13570" width="35.28515625" customWidth="1"/>
    <col min="13825" max="13825" width="77" customWidth="1"/>
    <col min="13826" max="13826" width="35.28515625" customWidth="1"/>
    <col min="14081" max="14081" width="77" customWidth="1"/>
    <col min="14082" max="14082" width="35.28515625" customWidth="1"/>
    <col min="14337" max="14337" width="77" customWidth="1"/>
    <col min="14338" max="14338" width="35.28515625" customWidth="1"/>
    <col min="14593" max="14593" width="77" customWidth="1"/>
    <col min="14594" max="14594" width="35.28515625" customWidth="1"/>
    <col min="14849" max="14849" width="77" customWidth="1"/>
    <col min="14850" max="14850" width="35.28515625" customWidth="1"/>
    <col min="15105" max="15105" width="77" customWidth="1"/>
    <col min="15106" max="15106" width="35.28515625" customWidth="1"/>
    <col min="15361" max="15361" width="77" customWidth="1"/>
    <col min="15362" max="15362" width="35.28515625" customWidth="1"/>
    <col min="15617" max="15617" width="77" customWidth="1"/>
    <col min="15618" max="15618" width="35.28515625" customWidth="1"/>
    <col min="15873" max="15873" width="77" customWidth="1"/>
    <col min="15874" max="15874" width="35.28515625" customWidth="1"/>
    <col min="16129" max="16129" width="77" customWidth="1"/>
    <col min="16130" max="16130" width="35.28515625" customWidth="1"/>
  </cols>
  <sheetData>
    <row r="1" spans="1:5">
      <c r="A1" s="90" t="s">
        <v>26</v>
      </c>
      <c r="B1" s="90"/>
      <c r="C1" s="90"/>
      <c r="D1" s="90"/>
      <c r="E1" s="90"/>
    </row>
    <row r="3" spans="1:5" ht="15.75" thickBot="1"/>
    <row r="4" spans="1:5" ht="30.75" customHeight="1" thickBot="1">
      <c r="A4" s="74" t="s">
        <v>79</v>
      </c>
      <c r="B4" s="75" t="s">
        <v>80</v>
      </c>
      <c r="C4" s="75" t="s">
        <v>105</v>
      </c>
      <c r="E4">
        <v>2146.4</v>
      </c>
    </row>
    <row r="5" spans="1:5" ht="60" customHeight="1" thickBot="1">
      <c r="A5" s="76" t="s">
        <v>81</v>
      </c>
      <c r="B5" s="110">
        <v>4.01</v>
      </c>
      <c r="C5" s="110">
        <f>B5*E4*12</f>
        <v>103284.76800000001</v>
      </c>
    </row>
    <row r="6" spans="1:5" ht="15.75" thickBot="1">
      <c r="A6" s="77" t="s">
        <v>82</v>
      </c>
      <c r="B6" s="111"/>
      <c r="C6" s="111"/>
    </row>
    <row r="7" spans="1:5" ht="15.75" thickBot="1">
      <c r="A7" s="77" t="s">
        <v>83</v>
      </c>
      <c r="B7" s="111"/>
      <c r="C7" s="111"/>
    </row>
    <row r="8" spans="1:5" ht="15.75" thickBot="1">
      <c r="A8" s="77" t="s">
        <v>84</v>
      </c>
      <c r="B8" s="111"/>
      <c r="C8" s="111"/>
    </row>
    <row r="9" spans="1:5" ht="15.75" thickBot="1">
      <c r="A9" s="77" t="s">
        <v>85</v>
      </c>
      <c r="B9" s="111"/>
      <c r="C9" s="111"/>
    </row>
    <row r="10" spans="1:5" ht="15.75" thickBot="1">
      <c r="A10" s="77" t="s">
        <v>86</v>
      </c>
      <c r="B10" s="111"/>
      <c r="C10" s="111"/>
    </row>
    <row r="11" spans="1:5" ht="15.75" thickBot="1">
      <c r="A11" s="77" t="s">
        <v>87</v>
      </c>
      <c r="B11" s="111"/>
      <c r="C11" s="111"/>
    </row>
    <row r="12" spans="1:5" ht="17.25" customHeight="1" thickBot="1">
      <c r="A12" s="77" t="s">
        <v>88</v>
      </c>
      <c r="B12" s="111"/>
      <c r="C12" s="111"/>
    </row>
    <row r="13" spans="1:5" ht="18" customHeight="1" thickBot="1">
      <c r="A13" s="77" t="s">
        <v>89</v>
      </c>
      <c r="B13" s="111"/>
      <c r="C13" s="111"/>
    </row>
    <row r="14" spans="1:5" ht="15.75" thickBot="1">
      <c r="A14" s="77" t="s">
        <v>90</v>
      </c>
      <c r="B14" s="111"/>
      <c r="C14" s="111"/>
    </row>
    <row r="15" spans="1:5" ht="15.75" thickBot="1">
      <c r="A15" s="77" t="s">
        <v>91</v>
      </c>
      <c r="B15" s="112"/>
      <c r="C15" s="112"/>
    </row>
    <row r="16" spans="1:5" ht="31.5" customHeight="1" thickBot="1">
      <c r="A16" s="76" t="s">
        <v>92</v>
      </c>
      <c r="B16" s="113">
        <v>4.92</v>
      </c>
      <c r="C16" s="113">
        <f>B16*E4*12</f>
        <v>126723.45600000001</v>
      </c>
    </row>
    <row r="17" spans="1:3" ht="15.75" thickBot="1">
      <c r="A17" s="78" t="s">
        <v>93</v>
      </c>
      <c r="B17" s="114"/>
      <c r="C17" s="114"/>
    </row>
    <row r="18" spans="1:3" ht="15.75" thickBot="1">
      <c r="A18" s="78" t="s">
        <v>94</v>
      </c>
      <c r="B18" s="114"/>
      <c r="C18" s="114"/>
    </row>
    <row r="19" spans="1:3" ht="15.75" customHeight="1" thickBot="1">
      <c r="A19" s="77" t="s">
        <v>95</v>
      </c>
      <c r="B19" s="114"/>
      <c r="C19" s="114"/>
    </row>
    <row r="20" spans="1:3" ht="16.5" customHeight="1" thickBot="1">
      <c r="A20" s="77" t="s">
        <v>96</v>
      </c>
      <c r="B20" s="115"/>
      <c r="C20" s="115"/>
    </row>
    <row r="21" spans="1:3" ht="20.25" customHeight="1" thickBot="1">
      <c r="A21" s="76" t="s">
        <v>97</v>
      </c>
      <c r="B21" s="79">
        <v>11.25</v>
      </c>
      <c r="C21" s="79">
        <f>B21*E4*12</f>
        <v>289764</v>
      </c>
    </row>
    <row r="22" spans="1:3" ht="15.75" thickBot="1">
      <c r="A22" s="80" t="s">
        <v>98</v>
      </c>
      <c r="B22" s="81">
        <v>1.65</v>
      </c>
      <c r="C22" s="81">
        <f>B22*E4*12</f>
        <v>42498.720000000001</v>
      </c>
    </row>
    <row r="23" spans="1:3" ht="42.75" customHeight="1" thickBot="1">
      <c r="A23" s="82" t="s">
        <v>99</v>
      </c>
      <c r="B23" s="83">
        <v>4.8099999999999996</v>
      </c>
      <c r="C23" s="83">
        <f>B23*E4*12</f>
        <v>123890.20799999998</v>
      </c>
    </row>
    <row r="24" spans="1:3" ht="19.5" customHeight="1">
      <c r="A24" s="106" t="s">
        <v>100</v>
      </c>
      <c r="B24" s="108">
        <v>3.54</v>
      </c>
      <c r="C24" s="108">
        <f>B24*E4*12</f>
        <v>91179.072</v>
      </c>
    </row>
    <row r="25" spans="1:3" ht="15.75" hidden="1" customHeight="1">
      <c r="A25" s="107"/>
      <c r="B25" s="109"/>
      <c r="C25" s="109"/>
    </row>
    <row r="26" spans="1:3" ht="15.75" thickBot="1">
      <c r="A26" s="82" t="s">
        <v>101</v>
      </c>
      <c r="B26" s="81">
        <v>1.25</v>
      </c>
      <c r="C26" s="81">
        <f>B26*E4*12</f>
        <v>32196</v>
      </c>
    </row>
    <row r="27" spans="1:3" ht="15.75" thickBot="1">
      <c r="A27" s="84" t="s">
        <v>102</v>
      </c>
      <c r="B27" s="85">
        <v>20.18</v>
      </c>
      <c r="C27" s="85">
        <f>C26+C24+C23+C22+C16+C5</f>
        <v>519772.22400000005</v>
      </c>
    </row>
    <row r="28" spans="1:3" ht="15.75" thickBot="1">
      <c r="A28" s="86" t="s">
        <v>103</v>
      </c>
      <c r="B28" s="87">
        <v>2.02</v>
      </c>
      <c r="C28" s="87">
        <f>B28*E4*12</f>
        <v>52028.736000000004</v>
      </c>
    </row>
    <row r="29" spans="1:3" ht="15.75" thickBot="1">
      <c r="A29" s="84" t="s">
        <v>104</v>
      </c>
      <c r="B29" s="88">
        <v>22.2</v>
      </c>
      <c r="C29" s="88">
        <f>C28+C27</f>
        <v>571800.96000000008</v>
      </c>
    </row>
    <row r="30" spans="1:3">
      <c r="A30" s="89"/>
    </row>
  </sheetData>
  <mergeCells count="8">
    <mergeCell ref="A1:E1"/>
    <mergeCell ref="B5:B15"/>
    <mergeCell ref="B16:B20"/>
    <mergeCell ref="A24:A25"/>
    <mergeCell ref="B24:B25"/>
    <mergeCell ref="C5:C15"/>
    <mergeCell ref="C16:C20"/>
    <mergeCell ref="C24:C25"/>
  </mergeCells>
  <phoneticPr fontId="6" type="noConversion"/>
  <pageMargins left="0.75" right="0.75" top="1" bottom="1" header="0.5" footer="0.5"/>
  <headerFooter alignWithMargins="0"/>
</worksheet>
</file>

<file path=xl/worksheets/sheet135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30"/>
  <sheetViews>
    <sheetView workbookViewId="0">
      <selection activeCell="E2" sqref="E1:E1048576"/>
    </sheetView>
  </sheetViews>
  <sheetFormatPr defaultRowHeight="15"/>
  <cols>
    <col min="1" max="1" width="77" customWidth="1"/>
    <col min="2" max="2" width="15.7109375" customWidth="1"/>
    <col min="3" max="3" width="15.28515625" customWidth="1"/>
    <col min="5" max="5" width="0" hidden="1" customWidth="1"/>
    <col min="257" max="257" width="77" customWidth="1"/>
    <col min="258" max="258" width="35.28515625" customWidth="1"/>
    <col min="513" max="513" width="77" customWidth="1"/>
    <col min="514" max="514" width="35.28515625" customWidth="1"/>
    <col min="769" max="769" width="77" customWidth="1"/>
    <col min="770" max="770" width="35.28515625" customWidth="1"/>
    <col min="1025" max="1025" width="77" customWidth="1"/>
    <col min="1026" max="1026" width="35.28515625" customWidth="1"/>
    <col min="1281" max="1281" width="77" customWidth="1"/>
    <col min="1282" max="1282" width="35.28515625" customWidth="1"/>
    <col min="1537" max="1537" width="77" customWidth="1"/>
    <col min="1538" max="1538" width="35.28515625" customWidth="1"/>
    <col min="1793" max="1793" width="77" customWidth="1"/>
    <col min="1794" max="1794" width="35.28515625" customWidth="1"/>
    <col min="2049" max="2049" width="77" customWidth="1"/>
    <col min="2050" max="2050" width="35.28515625" customWidth="1"/>
    <col min="2305" max="2305" width="77" customWidth="1"/>
    <col min="2306" max="2306" width="35.28515625" customWidth="1"/>
    <col min="2561" max="2561" width="77" customWidth="1"/>
    <col min="2562" max="2562" width="35.28515625" customWidth="1"/>
    <col min="2817" max="2817" width="77" customWidth="1"/>
    <col min="2818" max="2818" width="35.28515625" customWidth="1"/>
    <col min="3073" max="3073" width="77" customWidth="1"/>
    <col min="3074" max="3074" width="35.28515625" customWidth="1"/>
    <col min="3329" max="3329" width="77" customWidth="1"/>
    <col min="3330" max="3330" width="35.28515625" customWidth="1"/>
    <col min="3585" max="3585" width="77" customWidth="1"/>
    <col min="3586" max="3586" width="35.28515625" customWidth="1"/>
    <col min="3841" max="3841" width="77" customWidth="1"/>
    <col min="3842" max="3842" width="35.28515625" customWidth="1"/>
    <col min="4097" max="4097" width="77" customWidth="1"/>
    <col min="4098" max="4098" width="35.28515625" customWidth="1"/>
    <col min="4353" max="4353" width="77" customWidth="1"/>
    <col min="4354" max="4354" width="35.28515625" customWidth="1"/>
    <col min="4609" max="4609" width="77" customWidth="1"/>
    <col min="4610" max="4610" width="35.28515625" customWidth="1"/>
    <col min="4865" max="4865" width="77" customWidth="1"/>
    <col min="4866" max="4866" width="35.28515625" customWidth="1"/>
    <col min="5121" max="5121" width="77" customWidth="1"/>
    <col min="5122" max="5122" width="35.28515625" customWidth="1"/>
    <col min="5377" max="5377" width="77" customWidth="1"/>
    <col min="5378" max="5378" width="35.28515625" customWidth="1"/>
    <col min="5633" max="5633" width="77" customWidth="1"/>
    <col min="5634" max="5634" width="35.28515625" customWidth="1"/>
    <col min="5889" max="5889" width="77" customWidth="1"/>
    <col min="5890" max="5890" width="35.28515625" customWidth="1"/>
    <col min="6145" max="6145" width="77" customWidth="1"/>
    <col min="6146" max="6146" width="35.28515625" customWidth="1"/>
    <col min="6401" max="6401" width="77" customWidth="1"/>
    <col min="6402" max="6402" width="35.28515625" customWidth="1"/>
    <col min="6657" max="6657" width="77" customWidth="1"/>
    <col min="6658" max="6658" width="35.28515625" customWidth="1"/>
    <col min="6913" max="6913" width="77" customWidth="1"/>
    <col min="6914" max="6914" width="35.28515625" customWidth="1"/>
    <col min="7169" max="7169" width="77" customWidth="1"/>
    <col min="7170" max="7170" width="35.28515625" customWidth="1"/>
    <col min="7425" max="7425" width="77" customWidth="1"/>
    <col min="7426" max="7426" width="35.28515625" customWidth="1"/>
    <col min="7681" max="7681" width="77" customWidth="1"/>
    <col min="7682" max="7682" width="35.28515625" customWidth="1"/>
    <col min="7937" max="7937" width="77" customWidth="1"/>
    <col min="7938" max="7938" width="35.28515625" customWidth="1"/>
    <col min="8193" max="8193" width="77" customWidth="1"/>
    <col min="8194" max="8194" width="35.28515625" customWidth="1"/>
    <col min="8449" max="8449" width="77" customWidth="1"/>
    <col min="8450" max="8450" width="35.28515625" customWidth="1"/>
    <col min="8705" max="8705" width="77" customWidth="1"/>
    <col min="8706" max="8706" width="35.28515625" customWidth="1"/>
    <col min="8961" max="8961" width="77" customWidth="1"/>
    <col min="8962" max="8962" width="35.28515625" customWidth="1"/>
    <col min="9217" max="9217" width="77" customWidth="1"/>
    <col min="9218" max="9218" width="35.28515625" customWidth="1"/>
    <col min="9473" max="9473" width="77" customWidth="1"/>
    <col min="9474" max="9474" width="35.28515625" customWidth="1"/>
    <col min="9729" max="9729" width="77" customWidth="1"/>
    <col min="9730" max="9730" width="35.28515625" customWidth="1"/>
    <col min="9985" max="9985" width="77" customWidth="1"/>
    <col min="9986" max="9986" width="35.28515625" customWidth="1"/>
    <col min="10241" max="10241" width="77" customWidth="1"/>
    <col min="10242" max="10242" width="35.28515625" customWidth="1"/>
    <col min="10497" max="10497" width="77" customWidth="1"/>
    <col min="10498" max="10498" width="35.28515625" customWidth="1"/>
    <col min="10753" max="10753" width="77" customWidth="1"/>
    <col min="10754" max="10754" width="35.28515625" customWidth="1"/>
    <col min="11009" max="11009" width="77" customWidth="1"/>
    <col min="11010" max="11010" width="35.28515625" customWidth="1"/>
    <col min="11265" max="11265" width="77" customWidth="1"/>
    <col min="11266" max="11266" width="35.28515625" customWidth="1"/>
    <col min="11521" max="11521" width="77" customWidth="1"/>
    <col min="11522" max="11522" width="35.28515625" customWidth="1"/>
    <col min="11777" max="11777" width="77" customWidth="1"/>
    <col min="11778" max="11778" width="35.28515625" customWidth="1"/>
    <col min="12033" max="12033" width="77" customWidth="1"/>
    <col min="12034" max="12034" width="35.28515625" customWidth="1"/>
    <col min="12289" max="12289" width="77" customWidth="1"/>
    <col min="12290" max="12290" width="35.28515625" customWidth="1"/>
    <col min="12545" max="12545" width="77" customWidth="1"/>
    <col min="12546" max="12546" width="35.28515625" customWidth="1"/>
    <col min="12801" max="12801" width="77" customWidth="1"/>
    <col min="12802" max="12802" width="35.28515625" customWidth="1"/>
    <col min="13057" max="13057" width="77" customWidth="1"/>
    <col min="13058" max="13058" width="35.28515625" customWidth="1"/>
    <col min="13313" max="13313" width="77" customWidth="1"/>
    <col min="13314" max="13314" width="35.28515625" customWidth="1"/>
    <col min="13569" max="13569" width="77" customWidth="1"/>
    <col min="13570" max="13570" width="35.28515625" customWidth="1"/>
    <col min="13825" max="13825" width="77" customWidth="1"/>
    <col min="13826" max="13826" width="35.28515625" customWidth="1"/>
    <col min="14081" max="14081" width="77" customWidth="1"/>
    <col min="14082" max="14082" width="35.28515625" customWidth="1"/>
    <col min="14337" max="14337" width="77" customWidth="1"/>
    <col min="14338" max="14338" width="35.28515625" customWidth="1"/>
    <col min="14593" max="14593" width="77" customWidth="1"/>
    <col min="14594" max="14594" width="35.28515625" customWidth="1"/>
    <col min="14849" max="14849" width="77" customWidth="1"/>
    <col min="14850" max="14850" width="35.28515625" customWidth="1"/>
    <col min="15105" max="15105" width="77" customWidth="1"/>
    <col min="15106" max="15106" width="35.28515625" customWidth="1"/>
    <col min="15361" max="15361" width="77" customWidth="1"/>
    <col min="15362" max="15362" width="35.28515625" customWidth="1"/>
    <col min="15617" max="15617" width="77" customWidth="1"/>
    <col min="15618" max="15618" width="35.28515625" customWidth="1"/>
    <col min="15873" max="15873" width="77" customWidth="1"/>
    <col min="15874" max="15874" width="35.28515625" customWidth="1"/>
    <col min="16129" max="16129" width="77" customWidth="1"/>
    <col min="16130" max="16130" width="35.28515625" customWidth="1"/>
  </cols>
  <sheetData>
    <row r="1" spans="1:5">
      <c r="A1" s="90" t="s">
        <v>26</v>
      </c>
      <c r="B1" s="90"/>
      <c r="C1" s="90"/>
      <c r="D1" s="90"/>
      <c r="E1" s="90"/>
    </row>
    <row r="3" spans="1:5" ht="15.75" thickBot="1"/>
    <row r="4" spans="1:5" ht="30.75" customHeight="1" thickBot="1">
      <c r="A4" s="74" t="s">
        <v>79</v>
      </c>
      <c r="B4" s="75" t="s">
        <v>80</v>
      </c>
      <c r="C4" s="75" t="s">
        <v>105</v>
      </c>
      <c r="E4">
        <v>2163.6</v>
      </c>
    </row>
    <row r="5" spans="1:5" ht="60" customHeight="1" thickBot="1">
      <c r="A5" s="76" t="s">
        <v>81</v>
      </c>
      <c r="B5" s="110">
        <v>4.01</v>
      </c>
      <c r="C5" s="110">
        <f>B5*E4*12</f>
        <v>104112.432</v>
      </c>
    </row>
    <row r="6" spans="1:5" ht="15.75" thickBot="1">
      <c r="A6" s="77" t="s">
        <v>82</v>
      </c>
      <c r="B6" s="111"/>
      <c r="C6" s="111"/>
    </row>
    <row r="7" spans="1:5" ht="15.75" thickBot="1">
      <c r="A7" s="77" t="s">
        <v>83</v>
      </c>
      <c r="B7" s="111"/>
      <c r="C7" s="111"/>
    </row>
    <row r="8" spans="1:5" ht="15.75" thickBot="1">
      <c r="A8" s="77" t="s">
        <v>84</v>
      </c>
      <c r="B8" s="111"/>
      <c r="C8" s="111"/>
    </row>
    <row r="9" spans="1:5" ht="15.75" thickBot="1">
      <c r="A9" s="77" t="s">
        <v>85</v>
      </c>
      <c r="B9" s="111"/>
      <c r="C9" s="111"/>
    </row>
    <row r="10" spans="1:5" ht="15.75" thickBot="1">
      <c r="A10" s="77" t="s">
        <v>86</v>
      </c>
      <c r="B10" s="111"/>
      <c r="C10" s="111"/>
    </row>
    <row r="11" spans="1:5" ht="15.75" thickBot="1">
      <c r="A11" s="77" t="s">
        <v>87</v>
      </c>
      <c r="B11" s="111"/>
      <c r="C11" s="111"/>
    </row>
    <row r="12" spans="1:5" ht="17.25" customHeight="1" thickBot="1">
      <c r="A12" s="77" t="s">
        <v>88</v>
      </c>
      <c r="B12" s="111"/>
      <c r="C12" s="111"/>
    </row>
    <row r="13" spans="1:5" ht="18" customHeight="1" thickBot="1">
      <c r="A13" s="77" t="s">
        <v>89</v>
      </c>
      <c r="B13" s="111"/>
      <c r="C13" s="111"/>
    </row>
    <row r="14" spans="1:5" ht="15.75" thickBot="1">
      <c r="A14" s="77" t="s">
        <v>90</v>
      </c>
      <c r="B14" s="111"/>
      <c r="C14" s="111"/>
    </row>
    <row r="15" spans="1:5" ht="15.75" thickBot="1">
      <c r="A15" s="77" t="s">
        <v>91</v>
      </c>
      <c r="B15" s="112"/>
      <c r="C15" s="112"/>
    </row>
    <row r="16" spans="1:5" ht="31.5" customHeight="1" thickBot="1">
      <c r="A16" s="76" t="s">
        <v>92</v>
      </c>
      <c r="B16" s="113">
        <v>4.92</v>
      </c>
      <c r="C16" s="113">
        <f>B16*E4*12</f>
        <v>127738.944</v>
      </c>
    </row>
    <row r="17" spans="1:3" ht="15.75" thickBot="1">
      <c r="A17" s="78" t="s">
        <v>93</v>
      </c>
      <c r="B17" s="114"/>
      <c r="C17" s="114"/>
    </row>
    <row r="18" spans="1:3" ht="15.75" thickBot="1">
      <c r="A18" s="78" t="s">
        <v>94</v>
      </c>
      <c r="B18" s="114"/>
      <c r="C18" s="114"/>
    </row>
    <row r="19" spans="1:3" ht="15.75" customHeight="1" thickBot="1">
      <c r="A19" s="77" t="s">
        <v>95</v>
      </c>
      <c r="B19" s="114"/>
      <c r="C19" s="114"/>
    </row>
    <row r="20" spans="1:3" ht="16.5" customHeight="1" thickBot="1">
      <c r="A20" s="77" t="s">
        <v>96</v>
      </c>
      <c r="B20" s="115"/>
      <c r="C20" s="115"/>
    </row>
    <row r="21" spans="1:3" ht="20.25" customHeight="1" thickBot="1">
      <c r="A21" s="76" t="s">
        <v>97</v>
      </c>
      <c r="B21" s="79">
        <v>11.25</v>
      </c>
      <c r="C21" s="79">
        <f>B21*E4*12</f>
        <v>292086</v>
      </c>
    </row>
    <row r="22" spans="1:3" ht="15.75" thickBot="1">
      <c r="A22" s="80" t="s">
        <v>98</v>
      </c>
      <c r="B22" s="81">
        <v>1.65</v>
      </c>
      <c r="C22" s="81">
        <f>B22*E4*12</f>
        <v>42839.28</v>
      </c>
    </row>
    <row r="23" spans="1:3" ht="42.75" customHeight="1" thickBot="1">
      <c r="A23" s="82" t="s">
        <v>99</v>
      </c>
      <c r="B23" s="83">
        <v>4.8099999999999996</v>
      </c>
      <c r="C23" s="83">
        <f>B23*E4*12</f>
        <v>124882.992</v>
      </c>
    </row>
    <row r="24" spans="1:3" ht="19.5" customHeight="1">
      <c r="A24" s="106" t="s">
        <v>100</v>
      </c>
      <c r="B24" s="108">
        <v>3.54</v>
      </c>
      <c r="C24" s="108">
        <f>B24*E4*12</f>
        <v>91909.727999999988</v>
      </c>
    </row>
    <row r="25" spans="1:3" ht="15.75" hidden="1" customHeight="1">
      <c r="A25" s="107"/>
      <c r="B25" s="109"/>
      <c r="C25" s="109"/>
    </row>
    <row r="26" spans="1:3" ht="15.75" thickBot="1">
      <c r="A26" s="82" t="s">
        <v>101</v>
      </c>
      <c r="B26" s="81">
        <v>1.25</v>
      </c>
      <c r="C26" s="81">
        <f>B26*E4*12</f>
        <v>32454</v>
      </c>
    </row>
    <row r="27" spans="1:3" ht="15.75" thickBot="1">
      <c r="A27" s="84" t="s">
        <v>102</v>
      </c>
      <c r="B27" s="85">
        <v>20.18</v>
      </c>
      <c r="C27" s="85">
        <f>C26+C24+C23+C22+C16+C5</f>
        <v>523937.37600000005</v>
      </c>
    </row>
    <row r="28" spans="1:3" ht="15.75" thickBot="1">
      <c r="A28" s="86" t="s">
        <v>103</v>
      </c>
      <c r="B28" s="87">
        <v>2.02</v>
      </c>
      <c r="C28" s="87">
        <f>B28*E4*12</f>
        <v>52445.663999999997</v>
      </c>
    </row>
    <row r="29" spans="1:3" ht="15.75" thickBot="1">
      <c r="A29" s="84" t="s">
        <v>104</v>
      </c>
      <c r="B29" s="88">
        <v>22.2</v>
      </c>
      <c r="C29" s="88">
        <f>C28+C27</f>
        <v>576383.04</v>
      </c>
    </row>
    <row r="30" spans="1:3">
      <c r="A30" s="89"/>
    </row>
  </sheetData>
  <mergeCells count="8">
    <mergeCell ref="A1:E1"/>
    <mergeCell ref="B5:B15"/>
    <mergeCell ref="B16:B20"/>
    <mergeCell ref="A24:A25"/>
    <mergeCell ref="B24:B25"/>
    <mergeCell ref="C5:C15"/>
    <mergeCell ref="C16:C20"/>
    <mergeCell ref="C24:C25"/>
  </mergeCells>
  <phoneticPr fontId="6" type="noConversion"/>
  <pageMargins left="0.75" right="0.75" top="1" bottom="1" header="0.5" footer="0.5"/>
  <headerFooter alignWithMargins="0"/>
</worksheet>
</file>

<file path=xl/worksheets/sheet136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30"/>
  <sheetViews>
    <sheetView workbookViewId="0">
      <selection activeCell="E2" sqref="E1:E1048576"/>
    </sheetView>
  </sheetViews>
  <sheetFormatPr defaultRowHeight="15"/>
  <cols>
    <col min="1" max="1" width="77" customWidth="1"/>
    <col min="2" max="2" width="15.7109375" customWidth="1"/>
    <col min="3" max="3" width="15.28515625" customWidth="1"/>
    <col min="5" max="5" width="0" hidden="1" customWidth="1"/>
    <col min="257" max="257" width="77" customWidth="1"/>
    <col min="258" max="258" width="35.28515625" customWidth="1"/>
    <col min="513" max="513" width="77" customWidth="1"/>
    <col min="514" max="514" width="35.28515625" customWidth="1"/>
    <col min="769" max="769" width="77" customWidth="1"/>
    <col min="770" max="770" width="35.28515625" customWidth="1"/>
    <col min="1025" max="1025" width="77" customWidth="1"/>
    <col min="1026" max="1026" width="35.28515625" customWidth="1"/>
    <col min="1281" max="1281" width="77" customWidth="1"/>
    <col min="1282" max="1282" width="35.28515625" customWidth="1"/>
    <col min="1537" max="1537" width="77" customWidth="1"/>
    <col min="1538" max="1538" width="35.28515625" customWidth="1"/>
    <col min="1793" max="1793" width="77" customWidth="1"/>
    <col min="1794" max="1794" width="35.28515625" customWidth="1"/>
    <col min="2049" max="2049" width="77" customWidth="1"/>
    <col min="2050" max="2050" width="35.28515625" customWidth="1"/>
    <col min="2305" max="2305" width="77" customWidth="1"/>
    <col min="2306" max="2306" width="35.28515625" customWidth="1"/>
    <col min="2561" max="2561" width="77" customWidth="1"/>
    <col min="2562" max="2562" width="35.28515625" customWidth="1"/>
    <col min="2817" max="2817" width="77" customWidth="1"/>
    <col min="2818" max="2818" width="35.28515625" customWidth="1"/>
    <col min="3073" max="3073" width="77" customWidth="1"/>
    <col min="3074" max="3074" width="35.28515625" customWidth="1"/>
    <col min="3329" max="3329" width="77" customWidth="1"/>
    <col min="3330" max="3330" width="35.28515625" customWidth="1"/>
    <col min="3585" max="3585" width="77" customWidth="1"/>
    <col min="3586" max="3586" width="35.28515625" customWidth="1"/>
    <col min="3841" max="3841" width="77" customWidth="1"/>
    <col min="3842" max="3842" width="35.28515625" customWidth="1"/>
    <col min="4097" max="4097" width="77" customWidth="1"/>
    <col min="4098" max="4098" width="35.28515625" customWidth="1"/>
    <col min="4353" max="4353" width="77" customWidth="1"/>
    <col min="4354" max="4354" width="35.28515625" customWidth="1"/>
    <col min="4609" max="4609" width="77" customWidth="1"/>
    <col min="4610" max="4610" width="35.28515625" customWidth="1"/>
    <col min="4865" max="4865" width="77" customWidth="1"/>
    <col min="4866" max="4866" width="35.28515625" customWidth="1"/>
    <col min="5121" max="5121" width="77" customWidth="1"/>
    <col min="5122" max="5122" width="35.28515625" customWidth="1"/>
    <col min="5377" max="5377" width="77" customWidth="1"/>
    <col min="5378" max="5378" width="35.28515625" customWidth="1"/>
    <col min="5633" max="5633" width="77" customWidth="1"/>
    <col min="5634" max="5634" width="35.28515625" customWidth="1"/>
    <col min="5889" max="5889" width="77" customWidth="1"/>
    <col min="5890" max="5890" width="35.28515625" customWidth="1"/>
    <col min="6145" max="6145" width="77" customWidth="1"/>
    <col min="6146" max="6146" width="35.28515625" customWidth="1"/>
    <col min="6401" max="6401" width="77" customWidth="1"/>
    <col min="6402" max="6402" width="35.28515625" customWidth="1"/>
    <col min="6657" max="6657" width="77" customWidth="1"/>
    <col min="6658" max="6658" width="35.28515625" customWidth="1"/>
    <col min="6913" max="6913" width="77" customWidth="1"/>
    <col min="6914" max="6914" width="35.28515625" customWidth="1"/>
    <col min="7169" max="7169" width="77" customWidth="1"/>
    <col min="7170" max="7170" width="35.28515625" customWidth="1"/>
    <col min="7425" max="7425" width="77" customWidth="1"/>
    <col min="7426" max="7426" width="35.28515625" customWidth="1"/>
    <col min="7681" max="7681" width="77" customWidth="1"/>
    <col min="7682" max="7682" width="35.28515625" customWidth="1"/>
    <col min="7937" max="7937" width="77" customWidth="1"/>
    <col min="7938" max="7938" width="35.28515625" customWidth="1"/>
    <col min="8193" max="8193" width="77" customWidth="1"/>
    <col min="8194" max="8194" width="35.28515625" customWidth="1"/>
    <col min="8449" max="8449" width="77" customWidth="1"/>
    <col min="8450" max="8450" width="35.28515625" customWidth="1"/>
    <col min="8705" max="8705" width="77" customWidth="1"/>
    <col min="8706" max="8706" width="35.28515625" customWidth="1"/>
    <col min="8961" max="8961" width="77" customWidth="1"/>
    <col min="8962" max="8962" width="35.28515625" customWidth="1"/>
    <col min="9217" max="9217" width="77" customWidth="1"/>
    <col min="9218" max="9218" width="35.28515625" customWidth="1"/>
    <col min="9473" max="9473" width="77" customWidth="1"/>
    <col min="9474" max="9474" width="35.28515625" customWidth="1"/>
    <col min="9729" max="9729" width="77" customWidth="1"/>
    <col min="9730" max="9730" width="35.28515625" customWidth="1"/>
    <col min="9985" max="9985" width="77" customWidth="1"/>
    <col min="9986" max="9986" width="35.28515625" customWidth="1"/>
    <col min="10241" max="10241" width="77" customWidth="1"/>
    <col min="10242" max="10242" width="35.28515625" customWidth="1"/>
    <col min="10497" max="10497" width="77" customWidth="1"/>
    <col min="10498" max="10498" width="35.28515625" customWidth="1"/>
    <col min="10753" max="10753" width="77" customWidth="1"/>
    <col min="10754" max="10754" width="35.28515625" customWidth="1"/>
    <col min="11009" max="11009" width="77" customWidth="1"/>
    <col min="11010" max="11010" width="35.28515625" customWidth="1"/>
    <col min="11265" max="11265" width="77" customWidth="1"/>
    <col min="11266" max="11266" width="35.28515625" customWidth="1"/>
    <col min="11521" max="11521" width="77" customWidth="1"/>
    <col min="11522" max="11522" width="35.28515625" customWidth="1"/>
    <col min="11777" max="11777" width="77" customWidth="1"/>
    <col min="11778" max="11778" width="35.28515625" customWidth="1"/>
    <col min="12033" max="12033" width="77" customWidth="1"/>
    <col min="12034" max="12034" width="35.28515625" customWidth="1"/>
    <col min="12289" max="12289" width="77" customWidth="1"/>
    <col min="12290" max="12290" width="35.28515625" customWidth="1"/>
    <col min="12545" max="12545" width="77" customWidth="1"/>
    <col min="12546" max="12546" width="35.28515625" customWidth="1"/>
    <col min="12801" max="12801" width="77" customWidth="1"/>
    <col min="12802" max="12802" width="35.28515625" customWidth="1"/>
    <col min="13057" max="13057" width="77" customWidth="1"/>
    <col min="13058" max="13058" width="35.28515625" customWidth="1"/>
    <col min="13313" max="13313" width="77" customWidth="1"/>
    <col min="13314" max="13314" width="35.28515625" customWidth="1"/>
    <col min="13569" max="13569" width="77" customWidth="1"/>
    <col min="13570" max="13570" width="35.28515625" customWidth="1"/>
    <col min="13825" max="13825" width="77" customWidth="1"/>
    <col min="13826" max="13826" width="35.28515625" customWidth="1"/>
    <col min="14081" max="14081" width="77" customWidth="1"/>
    <col min="14082" max="14082" width="35.28515625" customWidth="1"/>
    <col min="14337" max="14337" width="77" customWidth="1"/>
    <col min="14338" max="14338" width="35.28515625" customWidth="1"/>
    <col min="14593" max="14593" width="77" customWidth="1"/>
    <col min="14594" max="14594" width="35.28515625" customWidth="1"/>
    <col min="14849" max="14849" width="77" customWidth="1"/>
    <col min="14850" max="14850" width="35.28515625" customWidth="1"/>
    <col min="15105" max="15105" width="77" customWidth="1"/>
    <col min="15106" max="15106" width="35.28515625" customWidth="1"/>
    <col min="15361" max="15361" width="77" customWidth="1"/>
    <col min="15362" max="15362" width="35.28515625" customWidth="1"/>
    <col min="15617" max="15617" width="77" customWidth="1"/>
    <col min="15618" max="15618" width="35.28515625" customWidth="1"/>
    <col min="15873" max="15873" width="77" customWidth="1"/>
    <col min="15874" max="15874" width="35.28515625" customWidth="1"/>
    <col min="16129" max="16129" width="77" customWidth="1"/>
    <col min="16130" max="16130" width="35.28515625" customWidth="1"/>
  </cols>
  <sheetData>
    <row r="1" spans="1:5">
      <c r="A1" s="90" t="s">
        <v>26</v>
      </c>
      <c r="B1" s="90"/>
      <c r="C1" s="90"/>
      <c r="D1" s="90"/>
      <c r="E1" s="90"/>
    </row>
    <row r="3" spans="1:5" ht="15.75" thickBot="1"/>
    <row r="4" spans="1:5" ht="30.75" customHeight="1" thickBot="1">
      <c r="A4" s="74" t="s">
        <v>79</v>
      </c>
      <c r="B4" s="75" t="s">
        <v>80</v>
      </c>
      <c r="C4" s="75" t="s">
        <v>105</v>
      </c>
      <c r="E4">
        <v>2183.3000000000002</v>
      </c>
    </row>
    <row r="5" spans="1:5" ht="60" customHeight="1" thickBot="1">
      <c r="A5" s="76" t="s">
        <v>81</v>
      </c>
      <c r="B5" s="110">
        <v>4.01</v>
      </c>
      <c r="C5" s="110">
        <f>B5*E4*12</f>
        <v>105060.39599999999</v>
      </c>
    </row>
    <row r="6" spans="1:5" ht="15.75" thickBot="1">
      <c r="A6" s="77" t="s">
        <v>82</v>
      </c>
      <c r="B6" s="111"/>
      <c r="C6" s="111"/>
    </row>
    <row r="7" spans="1:5" ht="15.75" thickBot="1">
      <c r="A7" s="77" t="s">
        <v>83</v>
      </c>
      <c r="B7" s="111"/>
      <c r="C7" s="111"/>
    </row>
    <row r="8" spans="1:5" ht="15.75" thickBot="1">
      <c r="A8" s="77" t="s">
        <v>84</v>
      </c>
      <c r="B8" s="111"/>
      <c r="C8" s="111"/>
    </row>
    <row r="9" spans="1:5" ht="15.75" thickBot="1">
      <c r="A9" s="77" t="s">
        <v>85</v>
      </c>
      <c r="B9" s="111"/>
      <c r="C9" s="111"/>
    </row>
    <row r="10" spans="1:5" ht="15.75" thickBot="1">
      <c r="A10" s="77" t="s">
        <v>86</v>
      </c>
      <c r="B10" s="111"/>
      <c r="C10" s="111"/>
    </row>
    <row r="11" spans="1:5" ht="15.75" thickBot="1">
      <c r="A11" s="77" t="s">
        <v>87</v>
      </c>
      <c r="B11" s="111"/>
      <c r="C11" s="111"/>
    </row>
    <row r="12" spans="1:5" ht="17.25" customHeight="1" thickBot="1">
      <c r="A12" s="77" t="s">
        <v>88</v>
      </c>
      <c r="B12" s="111"/>
      <c r="C12" s="111"/>
    </row>
    <row r="13" spans="1:5" ht="18" customHeight="1" thickBot="1">
      <c r="A13" s="77" t="s">
        <v>89</v>
      </c>
      <c r="B13" s="111"/>
      <c r="C13" s="111"/>
    </row>
    <row r="14" spans="1:5" ht="15.75" thickBot="1">
      <c r="A14" s="77" t="s">
        <v>90</v>
      </c>
      <c r="B14" s="111"/>
      <c r="C14" s="111"/>
    </row>
    <row r="15" spans="1:5" ht="15.75" thickBot="1">
      <c r="A15" s="77" t="s">
        <v>91</v>
      </c>
      <c r="B15" s="112"/>
      <c r="C15" s="112"/>
    </row>
    <row r="16" spans="1:5" ht="31.5" customHeight="1" thickBot="1">
      <c r="A16" s="76" t="s">
        <v>92</v>
      </c>
      <c r="B16" s="113">
        <v>4.92</v>
      </c>
      <c r="C16" s="113">
        <f>B16*E4*12</f>
        <v>128902.03200000001</v>
      </c>
    </row>
    <row r="17" spans="1:3" ht="15.75" thickBot="1">
      <c r="A17" s="78" t="s">
        <v>93</v>
      </c>
      <c r="B17" s="114"/>
      <c r="C17" s="114"/>
    </row>
    <row r="18" spans="1:3" ht="15.75" thickBot="1">
      <c r="A18" s="78" t="s">
        <v>94</v>
      </c>
      <c r="B18" s="114"/>
      <c r="C18" s="114"/>
    </row>
    <row r="19" spans="1:3" ht="15.75" customHeight="1" thickBot="1">
      <c r="A19" s="77" t="s">
        <v>95</v>
      </c>
      <c r="B19" s="114"/>
      <c r="C19" s="114"/>
    </row>
    <row r="20" spans="1:3" ht="16.5" customHeight="1" thickBot="1">
      <c r="A20" s="77" t="s">
        <v>96</v>
      </c>
      <c r="B20" s="115"/>
      <c r="C20" s="115"/>
    </row>
    <row r="21" spans="1:3" ht="20.25" customHeight="1" thickBot="1">
      <c r="A21" s="76" t="s">
        <v>97</v>
      </c>
      <c r="B21" s="79">
        <v>11.25</v>
      </c>
      <c r="C21" s="79">
        <f>B21*E4*12</f>
        <v>294745.50000000006</v>
      </c>
    </row>
    <row r="22" spans="1:3" ht="15.75" thickBot="1">
      <c r="A22" s="80" t="s">
        <v>98</v>
      </c>
      <c r="B22" s="81">
        <v>1.65</v>
      </c>
      <c r="C22" s="81">
        <f>B22*E4*12</f>
        <v>43229.340000000004</v>
      </c>
    </row>
    <row r="23" spans="1:3" ht="42.75" customHeight="1" thickBot="1">
      <c r="A23" s="82" t="s">
        <v>99</v>
      </c>
      <c r="B23" s="83">
        <v>4.8099999999999996</v>
      </c>
      <c r="C23" s="83">
        <f>B23*E4*12</f>
        <v>126020.076</v>
      </c>
    </row>
    <row r="24" spans="1:3" ht="19.5" customHeight="1">
      <c r="A24" s="106" t="s">
        <v>100</v>
      </c>
      <c r="B24" s="108">
        <v>3.54</v>
      </c>
      <c r="C24" s="108">
        <f>B24*E4*12</f>
        <v>92746.584000000003</v>
      </c>
    </row>
    <row r="25" spans="1:3" ht="15.75" hidden="1" customHeight="1">
      <c r="A25" s="107"/>
      <c r="B25" s="109"/>
      <c r="C25" s="109"/>
    </row>
    <row r="26" spans="1:3" ht="15.75" thickBot="1">
      <c r="A26" s="82" t="s">
        <v>101</v>
      </c>
      <c r="B26" s="81">
        <v>1.25</v>
      </c>
      <c r="C26" s="81">
        <f>B26*E4*12</f>
        <v>32749.5</v>
      </c>
    </row>
    <row r="27" spans="1:3" ht="15.75" thickBot="1">
      <c r="A27" s="84" t="s">
        <v>102</v>
      </c>
      <c r="B27" s="85">
        <v>20.18</v>
      </c>
      <c r="C27" s="85">
        <f>C26+C24+C23+C22+C16+C5</f>
        <v>528707.92799999996</v>
      </c>
    </row>
    <row r="28" spans="1:3" ht="15.75" thickBot="1">
      <c r="A28" s="86" t="s">
        <v>103</v>
      </c>
      <c r="B28" s="87">
        <v>2.02</v>
      </c>
      <c r="C28" s="87">
        <f>B28*E4*12</f>
        <v>52923.19200000001</v>
      </c>
    </row>
    <row r="29" spans="1:3" ht="15.75" thickBot="1">
      <c r="A29" s="84" t="s">
        <v>104</v>
      </c>
      <c r="B29" s="88">
        <v>22.2</v>
      </c>
      <c r="C29" s="88">
        <f>C28+C27</f>
        <v>581631.12</v>
      </c>
    </row>
    <row r="30" spans="1:3">
      <c r="A30" s="89"/>
    </row>
  </sheetData>
  <mergeCells count="8">
    <mergeCell ref="A1:E1"/>
    <mergeCell ref="B5:B15"/>
    <mergeCell ref="B16:B20"/>
    <mergeCell ref="A24:A25"/>
    <mergeCell ref="B24:B25"/>
    <mergeCell ref="C5:C15"/>
    <mergeCell ref="C16:C20"/>
    <mergeCell ref="C24:C25"/>
  </mergeCells>
  <phoneticPr fontId="6" type="noConversion"/>
  <pageMargins left="0.75" right="0.75" top="1" bottom="1" header="0.5" footer="0.5"/>
  <headerFooter alignWithMargins="0"/>
</worksheet>
</file>

<file path=xl/worksheets/sheet137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30"/>
  <sheetViews>
    <sheetView workbookViewId="0">
      <selection sqref="A1:E1"/>
    </sheetView>
  </sheetViews>
  <sheetFormatPr defaultRowHeight="15"/>
  <cols>
    <col min="1" max="1" width="77" customWidth="1"/>
    <col min="2" max="2" width="15.7109375" customWidth="1"/>
    <col min="3" max="3" width="15.28515625" customWidth="1"/>
    <col min="5" max="5" width="0" hidden="1" customWidth="1"/>
    <col min="257" max="257" width="77" customWidth="1"/>
    <col min="258" max="258" width="35.28515625" customWidth="1"/>
    <col min="513" max="513" width="77" customWidth="1"/>
    <col min="514" max="514" width="35.28515625" customWidth="1"/>
    <col min="769" max="769" width="77" customWidth="1"/>
    <col min="770" max="770" width="35.28515625" customWidth="1"/>
    <col min="1025" max="1025" width="77" customWidth="1"/>
    <col min="1026" max="1026" width="35.28515625" customWidth="1"/>
    <col min="1281" max="1281" width="77" customWidth="1"/>
    <col min="1282" max="1282" width="35.28515625" customWidth="1"/>
    <col min="1537" max="1537" width="77" customWidth="1"/>
    <col min="1538" max="1538" width="35.28515625" customWidth="1"/>
    <col min="1793" max="1793" width="77" customWidth="1"/>
    <col min="1794" max="1794" width="35.28515625" customWidth="1"/>
    <col min="2049" max="2049" width="77" customWidth="1"/>
    <col min="2050" max="2050" width="35.28515625" customWidth="1"/>
    <col min="2305" max="2305" width="77" customWidth="1"/>
    <col min="2306" max="2306" width="35.28515625" customWidth="1"/>
    <col min="2561" max="2561" width="77" customWidth="1"/>
    <col min="2562" max="2562" width="35.28515625" customWidth="1"/>
    <col min="2817" max="2817" width="77" customWidth="1"/>
    <col min="2818" max="2818" width="35.28515625" customWidth="1"/>
    <col min="3073" max="3073" width="77" customWidth="1"/>
    <col min="3074" max="3074" width="35.28515625" customWidth="1"/>
    <col min="3329" max="3329" width="77" customWidth="1"/>
    <col min="3330" max="3330" width="35.28515625" customWidth="1"/>
    <col min="3585" max="3585" width="77" customWidth="1"/>
    <col min="3586" max="3586" width="35.28515625" customWidth="1"/>
    <col min="3841" max="3841" width="77" customWidth="1"/>
    <col min="3842" max="3842" width="35.28515625" customWidth="1"/>
    <col min="4097" max="4097" width="77" customWidth="1"/>
    <col min="4098" max="4098" width="35.28515625" customWidth="1"/>
    <col min="4353" max="4353" width="77" customWidth="1"/>
    <col min="4354" max="4354" width="35.28515625" customWidth="1"/>
    <col min="4609" max="4609" width="77" customWidth="1"/>
    <col min="4610" max="4610" width="35.28515625" customWidth="1"/>
    <col min="4865" max="4865" width="77" customWidth="1"/>
    <col min="4866" max="4866" width="35.28515625" customWidth="1"/>
    <col min="5121" max="5121" width="77" customWidth="1"/>
    <col min="5122" max="5122" width="35.28515625" customWidth="1"/>
    <col min="5377" max="5377" width="77" customWidth="1"/>
    <col min="5378" max="5378" width="35.28515625" customWidth="1"/>
    <col min="5633" max="5633" width="77" customWidth="1"/>
    <col min="5634" max="5634" width="35.28515625" customWidth="1"/>
    <col min="5889" max="5889" width="77" customWidth="1"/>
    <col min="5890" max="5890" width="35.28515625" customWidth="1"/>
    <col min="6145" max="6145" width="77" customWidth="1"/>
    <col min="6146" max="6146" width="35.28515625" customWidth="1"/>
    <col min="6401" max="6401" width="77" customWidth="1"/>
    <col min="6402" max="6402" width="35.28515625" customWidth="1"/>
    <col min="6657" max="6657" width="77" customWidth="1"/>
    <col min="6658" max="6658" width="35.28515625" customWidth="1"/>
    <col min="6913" max="6913" width="77" customWidth="1"/>
    <col min="6914" max="6914" width="35.28515625" customWidth="1"/>
    <col min="7169" max="7169" width="77" customWidth="1"/>
    <col min="7170" max="7170" width="35.28515625" customWidth="1"/>
    <col min="7425" max="7425" width="77" customWidth="1"/>
    <col min="7426" max="7426" width="35.28515625" customWidth="1"/>
    <col min="7681" max="7681" width="77" customWidth="1"/>
    <col min="7682" max="7682" width="35.28515625" customWidth="1"/>
    <col min="7937" max="7937" width="77" customWidth="1"/>
    <col min="7938" max="7938" width="35.28515625" customWidth="1"/>
    <col min="8193" max="8193" width="77" customWidth="1"/>
    <col min="8194" max="8194" width="35.28515625" customWidth="1"/>
    <col min="8449" max="8449" width="77" customWidth="1"/>
    <col min="8450" max="8450" width="35.28515625" customWidth="1"/>
    <col min="8705" max="8705" width="77" customWidth="1"/>
    <col min="8706" max="8706" width="35.28515625" customWidth="1"/>
    <col min="8961" max="8961" width="77" customWidth="1"/>
    <col min="8962" max="8962" width="35.28515625" customWidth="1"/>
    <col min="9217" max="9217" width="77" customWidth="1"/>
    <col min="9218" max="9218" width="35.28515625" customWidth="1"/>
    <col min="9473" max="9473" width="77" customWidth="1"/>
    <col min="9474" max="9474" width="35.28515625" customWidth="1"/>
    <col min="9729" max="9729" width="77" customWidth="1"/>
    <col min="9730" max="9730" width="35.28515625" customWidth="1"/>
    <col min="9985" max="9985" width="77" customWidth="1"/>
    <col min="9986" max="9986" width="35.28515625" customWidth="1"/>
    <col min="10241" max="10241" width="77" customWidth="1"/>
    <col min="10242" max="10242" width="35.28515625" customWidth="1"/>
    <col min="10497" max="10497" width="77" customWidth="1"/>
    <col min="10498" max="10498" width="35.28515625" customWidth="1"/>
    <col min="10753" max="10753" width="77" customWidth="1"/>
    <col min="10754" max="10754" width="35.28515625" customWidth="1"/>
    <col min="11009" max="11009" width="77" customWidth="1"/>
    <col min="11010" max="11010" width="35.28515625" customWidth="1"/>
    <col min="11265" max="11265" width="77" customWidth="1"/>
    <col min="11266" max="11266" width="35.28515625" customWidth="1"/>
    <col min="11521" max="11521" width="77" customWidth="1"/>
    <col min="11522" max="11522" width="35.28515625" customWidth="1"/>
    <col min="11777" max="11777" width="77" customWidth="1"/>
    <col min="11778" max="11778" width="35.28515625" customWidth="1"/>
    <col min="12033" max="12033" width="77" customWidth="1"/>
    <col min="12034" max="12034" width="35.28515625" customWidth="1"/>
    <col min="12289" max="12289" width="77" customWidth="1"/>
    <col min="12290" max="12290" width="35.28515625" customWidth="1"/>
    <col min="12545" max="12545" width="77" customWidth="1"/>
    <col min="12546" max="12546" width="35.28515625" customWidth="1"/>
    <col min="12801" max="12801" width="77" customWidth="1"/>
    <col min="12802" max="12802" width="35.28515625" customWidth="1"/>
    <col min="13057" max="13057" width="77" customWidth="1"/>
    <col min="13058" max="13058" width="35.28515625" customWidth="1"/>
    <col min="13313" max="13313" width="77" customWidth="1"/>
    <col min="13314" max="13314" width="35.28515625" customWidth="1"/>
    <col min="13569" max="13569" width="77" customWidth="1"/>
    <col min="13570" max="13570" width="35.28515625" customWidth="1"/>
    <col min="13825" max="13825" width="77" customWidth="1"/>
    <col min="13826" max="13826" width="35.28515625" customWidth="1"/>
    <col min="14081" max="14081" width="77" customWidth="1"/>
    <col min="14082" max="14082" width="35.28515625" customWidth="1"/>
    <col min="14337" max="14337" width="77" customWidth="1"/>
    <col min="14338" max="14338" width="35.28515625" customWidth="1"/>
    <col min="14593" max="14593" width="77" customWidth="1"/>
    <col min="14594" max="14594" width="35.28515625" customWidth="1"/>
    <col min="14849" max="14849" width="77" customWidth="1"/>
    <col min="14850" max="14850" width="35.28515625" customWidth="1"/>
    <col min="15105" max="15105" width="77" customWidth="1"/>
    <col min="15106" max="15106" width="35.28515625" customWidth="1"/>
    <col min="15361" max="15361" width="77" customWidth="1"/>
    <col min="15362" max="15362" width="35.28515625" customWidth="1"/>
    <col min="15617" max="15617" width="77" customWidth="1"/>
    <col min="15618" max="15618" width="35.28515625" customWidth="1"/>
    <col min="15873" max="15873" width="77" customWidth="1"/>
    <col min="15874" max="15874" width="35.28515625" customWidth="1"/>
    <col min="16129" max="16129" width="77" customWidth="1"/>
    <col min="16130" max="16130" width="35.28515625" customWidth="1"/>
  </cols>
  <sheetData>
    <row r="1" spans="1:5">
      <c r="A1" s="90" t="s">
        <v>26</v>
      </c>
      <c r="B1" s="90"/>
      <c r="C1" s="90"/>
      <c r="D1" s="90"/>
      <c r="E1" s="90"/>
    </row>
    <row r="3" spans="1:5" ht="15.75" thickBot="1"/>
    <row r="4" spans="1:5" ht="30.75" customHeight="1" thickBot="1">
      <c r="A4" s="74" t="s">
        <v>79</v>
      </c>
      <c r="B4" s="75" t="s">
        <v>80</v>
      </c>
      <c r="C4" s="75" t="s">
        <v>105</v>
      </c>
      <c r="E4">
        <v>2167.9</v>
      </c>
    </row>
    <row r="5" spans="1:5" ht="60" customHeight="1" thickBot="1">
      <c r="A5" s="76" t="s">
        <v>81</v>
      </c>
      <c r="B5" s="110">
        <v>4.01</v>
      </c>
      <c r="C5" s="110">
        <f>B5*E4*12</f>
        <v>104319.348</v>
      </c>
    </row>
    <row r="6" spans="1:5" ht="15.75" thickBot="1">
      <c r="A6" s="77" t="s">
        <v>82</v>
      </c>
      <c r="B6" s="111"/>
      <c r="C6" s="111"/>
    </row>
    <row r="7" spans="1:5" ht="15.75" thickBot="1">
      <c r="A7" s="77" t="s">
        <v>83</v>
      </c>
      <c r="B7" s="111"/>
      <c r="C7" s="111"/>
    </row>
    <row r="8" spans="1:5" ht="15.75" thickBot="1">
      <c r="A8" s="77" t="s">
        <v>84</v>
      </c>
      <c r="B8" s="111"/>
      <c r="C8" s="111"/>
    </row>
    <row r="9" spans="1:5" ht="15.75" thickBot="1">
      <c r="A9" s="77" t="s">
        <v>85</v>
      </c>
      <c r="B9" s="111"/>
      <c r="C9" s="111"/>
    </row>
    <row r="10" spans="1:5" ht="15.75" thickBot="1">
      <c r="A10" s="77" t="s">
        <v>86</v>
      </c>
      <c r="B10" s="111"/>
      <c r="C10" s="111"/>
    </row>
    <row r="11" spans="1:5" ht="15.75" thickBot="1">
      <c r="A11" s="77" t="s">
        <v>87</v>
      </c>
      <c r="B11" s="111"/>
      <c r="C11" s="111"/>
    </row>
    <row r="12" spans="1:5" ht="17.25" customHeight="1" thickBot="1">
      <c r="A12" s="77" t="s">
        <v>88</v>
      </c>
      <c r="B12" s="111"/>
      <c r="C12" s="111"/>
    </row>
    <row r="13" spans="1:5" ht="18" customHeight="1" thickBot="1">
      <c r="A13" s="77" t="s">
        <v>89</v>
      </c>
      <c r="B13" s="111"/>
      <c r="C13" s="111"/>
    </row>
    <row r="14" spans="1:5" ht="15.75" thickBot="1">
      <c r="A14" s="77" t="s">
        <v>90</v>
      </c>
      <c r="B14" s="111"/>
      <c r="C14" s="111"/>
    </row>
    <row r="15" spans="1:5" ht="15.75" thickBot="1">
      <c r="A15" s="77" t="s">
        <v>91</v>
      </c>
      <c r="B15" s="112"/>
      <c r="C15" s="112"/>
    </row>
    <row r="16" spans="1:5" ht="31.5" customHeight="1" thickBot="1">
      <c r="A16" s="76" t="s">
        <v>92</v>
      </c>
      <c r="B16" s="113">
        <v>4.92</v>
      </c>
      <c r="C16" s="113">
        <f>B16*E4*12</f>
        <v>127992.81600000002</v>
      </c>
    </row>
    <row r="17" spans="1:3" ht="15.75" thickBot="1">
      <c r="A17" s="78" t="s">
        <v>93</v>
      </c>
      <c r="B17" s="114"/>
      <c r="C17" s="114"/>
    </row>
    <row r="18" spans="1:3" ht="15.75" thickBot="1">
      <c r="A18" s="78" t="s">
        <v>94</v>
      </c>
      <c r="B18" s="114"/>
      <c r="C18" s="114"/>
    </row>
    <row r="19" spans="1:3" ht="15.75" customHeight="1" thickBot="1">
      <c r="A19" s="77" t="s">
        <v>95</v>
      </c>
      <c r="B19" s="114"/>
      <c r="C19" s="114"/>
    </row>
    <row r="20" spans="1:3" ht="16.5" customHeight="1" thickBot="1">
      <c r="A20" s="77" t="s">
        <v>96</v>
      </c>
      <c r="B20" s="115"/>
      <c r="C20" s="115"/>
    </row>
    <row r="21" spans="1:3" ht="20.25" customHeight="1" thickBot="1">
      <c r="A21" s="76" t="s">
        <v>97</v>
      </c>
      <c r="B21" s="79">
        <v>11.25</v>
      </c>
      <c r="C21" s="79">
        <f>B21*E4*12</f>
        <v>292666.5</v>
      </c>
    </row>
    <row r="22" spans="1:3" ht="15.75" thickBot="1">
      <c r="A22" s="80" t="s">
        <v>98</v>
      </c>
      <c r="B22" s="81">
        <v>1.65</v>
      </c>
      <c r="C22" s="81">
        <f>B22*E4*12</f>
        <v>42924.42</v>
      </c>
    </row>
    <row r="23" spans="1:3" ht="42.75" customHeight="1" thickBot="1">
      <c r="A23" s="82" t="s">
        <v>99</v>
      </c>
      <c r="B23" s="83">
        <v>4.8099999999999996</v>
      </c>
      <c r="C23" s="83">
        <f>B23*E4*12</f>
        <v>125131.18799999999</v>
      </c>
    </row>
    <row r="24" spans="1:3" ht="19.5" customHeight="1">
      <c r="A24" s="106" t="s">
        <v>100</v>
      </c>
      <c r="B24" s="108">
        <v>3.54</v>
      </c>
      <c r="C24" s="108">
        <f>B24*E4*12</f>
        <v>92092.391999999993</v>
      </c>
    </row>
    <row r="25" spans="1:3" ht="15.75" hidden="1" customHeight="1">
      <c r="A25" s="107"/>
      <c r="B25" s="109"/>
      <c r="C25" s="109"/>
    </row>
    <row r="26" spans="1:3" ht="15.75" thickBot="1">
      <c r="A26" s="82" t="s">
        <v>101</v>
      </c>
      <c r="B26" s="81">
        <v>1.25</v>
      </c>
      <c r="C26" s="81">
        <f>B26*E4*12</f>
        <v>32518.5</v>
      </c>
    </row>
    <row r="27" spans="1:3" ht="15.75" thickBot="1">
      <c r="A27" s="84" t="s">
        <v>102</v>
      </c>
      <c r="B27" s="85">
        <v>20.18</v>
      </c>
      <c r="C27" s="85">
        <f>C26+C24+C23+C22+C16+C5</f>
        <v>524978.66399999999</v>
      </c>
    </row>
    <row r="28" spans="1:3" ht="15.75" thickBot="1">
      <c r="A28" s="86" t="s">
        <v>103</v>
      </c>
      <c r="B28" s="87">
        <v>2.02</v>
      </c>
      <c r="C28" s="87">
        <f>B28*E4*12</f>
        <v>52549.896000000008</v>
      </c>
    </row>
    <row r="29" spans="1:3" ht="15.75" thickBot="1">
      <c r="A29" s="84" t="s">
        <v>104</v>
      </c>
      <c r="B29" s="88">
        <v>22.2</v>
      </c>
      <c r="C29" s="88">
        <f>C28+C27</f>
        <v>577528.56000000006</v>
      </c>
    </row>
    <row r="30" spans="1:3">
      <c r="A30" s="89"/>
    </row>
  </sheetData>
  <mergeCells count="8">
    <mergeCell ref="A1:E1"/>
    <mergeCell ref="B5:B15"/>
    <mergeCell ref="B16:B20"/>
    <mergeCell ref="A24:A25"/>
    <mergeCell ref="B24:B25"/>
    <mergeCell ref="C5:C15"/>
    <mergeCell ref="C16:C20"/>
    <mergeCell ref="C24:C25"/>
  </mergeCells>
  <phoneticPr fontId="6" type="noConversion"/>
  <pageMargins left="0.75" right="0.75" top="1" bottom="1" header="0.5" footer="0.5"/>
  <headerFooter alignWithMargins="0"/>
</worksheet>
</file>

<file path=xl/worksheets/sheet138.xml><?xml version="1.0" encoding="utf-8"?>
<worksheet xmlns="http://schemas.openxmlformats.org/spreadsheetml/2006/main" xmlns:r="http://schemas.openxmlformats.org/officeDocument/2006/relationships">
  <sheetPr>
    <tabColor indexed="9"/>
  </sheetPr>
  <dimension ref="A1:G66"/>
  <sheetViews>
    <sheetView tabSelected="1" workbookViewId="0">
      <selection activeCell="E4" sqref="E4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2159.8000000000002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145445.07848692214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36">
        <f>D31*G3*12</f>
        <v>211144.26620015316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226783.65233615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44477.965332094442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36">
        <f>D50*G3*12</f>
        <v>43841.879802718402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106111.66176077067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36">
        <f>D62*G3*12</f>
        <v>32352.145440566503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583372.9970232253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58337.299702322525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641710.29672554787</v>
      </c>
    </row>
  </sheetData>
  <mergeCells count="47">
    <mergeCell ref="A56:E56"/>
    <mergeCell ref="A57:E57"/>
    <mergeCell ref="A58:E58"/>
    <mergeCell ref="A61:E61"/>
    <mergeCell ref="A42:E42"/>
    <mergeCell ref="A43:E43"/>
    <mergeCell ref="A45:E45"/>
    <mergeCell ref="A46:E46"/>
    <mergeCell ref="A52:E52"/>
    <mergeCell ref="A54:E54"/>
    <mergeCell ref="A53:E53"/>
    <mergeCell ref="A44:E44"/>
    <mergeCell ref="A1:E1"/>
    <mergeCell ref="A6:E6"/>
    <mergeCell ref="A7:E7"/>
    <mergeCell ref="A9:E9"/>
    <mergeCell ref="A11:E11"/>
    <mergeCell ref="A13:E13"/>
    <mergeCell ref="A15:E15"/>
    <mergeCell ref="A49:D49"/>
    <mergeCell ref="A55:E55"/>
    <mergeCell ref="A36:E36"/>
    <mergeCell ref="A37:E37"/>
    <mergeCell ref="A39:E39"/>
    <mergeCell ref="A40:E40"/>
    <mergeCell ref="A27:D27"/>
    <mergeCell ref="A29:D29"/>
    <mergeCell ref="A28:E28"/>
    <mergeCell ref="A30:E30"/>
    <mergeCell ref="A33:E33"/>
    <mergeCell ref="A34:E34"/>
    <mergeCell ref="A21:D21"/>
    <mergeCell ref="A23:D23"/>
    <mergeCell ref="A25:D25"/>
    <mergeCell ref="A22:E22"/>
    <mergeCell ref="A24:E24"/>
    <mergeCell ref="A26:E26"/>
    <mergeCell ref="A17:D17"/>
    <mergeCell ref="A19:D19"/>
    <mergeCell ref="A16:E16"/>
    <mergeCell ref="A18:E18"/>
    <mergeCell ref="A20:E20"/>
    <mergeCell ref="A10:D10"/>
    <mergeCell ref="A12:D12"/>
    <mergeCell ref="A14:D14"/>
    <mergeCell ref="A5:D5"/>
    <mergeCell ref="A8:D8"/>
  </mergeCells>
  <pageMargins left="0.7" right="0.7" top="0.75" bottom="0.75" header="0.3" footer="0.3"/>
  <pageSetup paperSize="9" orientation="portrait" horizontalDpi="300" verticalDpi="300" r:id="rId1"/>
</worksheet>
</file>

<file path=xl/worksheets/sheet139.xml><?xml version="1.0" encoding="utf-8"?>
<worksheet xmlns="http://schemas.openxmlformats.org/spreadsheetml/2006/main" xmlns:r="http://schemas.openxmlformats.org/officeDocument/2006/relationships">
  <sheetPr>
    <tabColor indexed="9"/>
  </sheetPr>
  <dimension ref="A1:G66"/>
  <sheetViews>
    <sheetView workbookViewId="0">
      <selection activeCell="E4" sqref="E4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2178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146670.7014281491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36">
        <f>D31*G3*12</f>
        <v>212923.51689227408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228694.69154001976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44852.768077276451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36">
        <f>D50*G3*12</f>
        <v>44211.322442041244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107005.83355632861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36">
        <f>D62*G3*12</f>
        <v>32624.767464373479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588288.90986044286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58828.890986044287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647117.80084648717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26" sqref="E2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855468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100108.32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396.5*12*16.39</f>
        <v>77983.62000000001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396.5*4.65*12</f>
        <v>22124.7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396.5*12*0.003</f>
        <v>14.274000000000001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396.5*12*2.54</f>
        <v>12085.32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396.5*12*2.11</f>
        <v>10039.379999999999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396.5*12*2.6</f>
        <v>12370.800000000001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396.5*12*1.92</f>
        <v>9135.3599999999988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396.5*12*2.34</f>
        <v>11133.72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396.5*12*1.36</f>
        <v>6470.88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396.5*12*3.03</f>
        <v>14416.74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396.5*12*0.07</f>
        <v>333.06000000000006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396.5*12*0.42</f>
        <v>1998.36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77997.894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-14.273999999990338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/>
      <c r="D24" s="12"/>
      <c r="E24" s="10"/>
    </row>
    <row r="25" spans="1:7"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22124.7</v>
      </c>
    </row>
  </sheetData>
  <mergeCells count="3">
    <mergeCell ref="A2:E2"/>
    <mergeCell ref="B9:E9"/>
    <mergeCell ref="B23:E23"/>
  </mergeCells>
  <phoneticPr fontId="6" type="noConversion"/>
  <dataValidations count="1">
    <dataValidation type="list" allowBlank="1" showInputMessage="1" showErrorMessage="1" sqref="B5:E5">
      <formula1>Адреса</formula1>
    </dataValidation>
  </dataValidation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>
  <sheetPr>
    <tabColor indexed="9"/>
  </sheetPr>
  <dimension ref="A1:G66"/>
  <sheetViews>
    <sheetView workbookViewId="0">
      <selection activeCell="E4" sqref="E4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>
        <v>140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1083.8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72985.172730866849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36">
        <f>D31*G3*12</f>
        <v>105953.40110553105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113801.33456890422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22319.297540014792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36">
        <f>D50*G3*12</f>
        <v>22000.106181214091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53247.439122290605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36">
        <f>D62*G3*12</f>
        <v>16234.491725384745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292739.90840530209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29273.990840530212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322013.89924583229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>
  <sheetPr>
    <tabColor indexed="9"/>
  </sheetPr>
  <dimension ref="A1:G66"/>
  <sheetViews>
    <sheetView workbookViewId="0">
      <selection activeCell="E4" sqref="E4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1087.2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73214.135258348804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36">
        <f>D31*G3*12</f>
        <v>106285.78859746574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114158.34189270408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22389.315635268576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36">
        <f>D50*G3*12</f>
        <v>22069.122938010667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53414.482204977248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36">
        <f>D62*G3*12</f>
        <v>16285.421114447588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293658.26574851864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29365.826574851864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323024.09232337051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>
  <sheetPr>
    <tabColor indexed="9"/>
  </sheetPr>
  <dimension ref="A1:G66"/>
  <sheetViews>
    <sheetView workbookViewId="0">
      <selection activeCell="E4" sqref="E4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2167.4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145956.87707776416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36">
        <f>D31*G3*12</f>
        <v>211887.25000565418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227581.66870699672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44634.47636854407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36">
        <f>D50*G3*12</f>
        <v>43996.152553204862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106485.05218089378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36">
        <f>D62*G3*12</f>
        <v>32465.987604354032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585425.79579041502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58542.5795790415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643968.37536945648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>
  <sheetPr>
    <tabColor indexed="9"/>
  </sheetPr>
  <dimension ref="A1:G66"/>
  <sheetViews>
    <sheetView workbookViewId="0">
      <selection activeCell="E4" sqref="E4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2168.6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146037.68738158132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36">
        <f>D31*G3*12</f>
        <v>212004.56323810172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227707.67129186721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44659.18863745717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36">
        <f>D50*G3*12</f>
        <v>44020.511408544822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106544.00856301846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36">
        <f>D62*G3*12</f>
        <v>32483.962682846795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585749.92191155022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58574.992191155034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644324.9141027052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>
  <sheetPr>
    <tabColor indexed="9"/>
  </sheetPr>
  <dimension ref="A1:G66"/>
  <sheetViews>
    <sheetView workbookViewId="0">
      <selection activeCell="E4" sqref="E4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2161.3000000000002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145546.09136669361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36">
        <f>D31*G3*12</f>
        <v>211290.90774071257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226941.15556723817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44508.855668235818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36">
        <f>D50*G3*12</f>
        <v>43872.32837189336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106185.35723842654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36">
        <f>D62*G3*12</f>
        <v>32374.614288682467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583778.15467464435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58377.815467464439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642155.97014210874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>
  <sheetPr>
    <tabColor indexed="9"/>
  </sheetPr>
  <dimension ref="A1:G66"/>
  <sheetViews>
    <sheetView workbookViewId="0">
      <selection activeCell="F9" sqref="F9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2157.9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145317.12883921163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36">
        <f>D31*G3*12</f>
        <v>210958.5202487779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226584.14824343831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44438.837572982025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36">
        <f>D50*G3*12</f>
        <v>43803.311615096783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106018.31415573989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36">
        <f>D62*G3*12</f>
        <v>32323.68489961962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582859.79733142781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58285.979733142784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641145.77706457058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>
  <sheetPr>
    <tabColor indexed="9"/>
  </sheetPr>
  <dimension ref="A1:G66"/>
  <sheetViews>
    <sheetView workbookViewId="0">
      <selection activeCell="E4" sqref="E4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2161.8000000000002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145579.76232661741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36">
        <f>D31*G3*12</f>
        <v>211339.78825423238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226993.65664426755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44519.152446949607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36">
        <f>D50*G3*12</f>
        <v>43882.477894951677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106209.92239764519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36">
        <f>D62*G3*12</f>
        <v>32382.103904721116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583913.20722511737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58391.320722511737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642304.5279476291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>
  <sheetPr>
    <tabColor indexed="9"/>
  </sheetPr>
  <dimension ref="A1:G66"/>
  <sheetViews>
    <sheetView workbookViewId="0">
      <selection activeCell="E4" sqref="E4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2180.1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146812.11945982912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36">
        <f>D31*G3*12</f>
        <v>213128.81504905724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228915.19606354315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44896.014547874373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36">
        <f>D50*G3*12</f>
        <v>44253.950438886182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107109.00722504682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36">
        <f>D62*G3*12</f>
        <v>32656.22385173582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588856.13057242951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58885.613057242954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647741.74362967245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>
  <sheetPr>
    <tabColor indexed="9"/>
  </sheetPr>
  <dimension ref="A1:G66"/>
  <sheetViews>
    <sheetView workbookViewId="0">
      <selection activeCell="E4" sqref="E4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2170.1999999999998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146145.43445333751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36">
        <f>D31*G3*12</f>
        <v>212160.98088136507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227875.67473836127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44692.138329341302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36">
        <f>D50*G3*12</f>
        <v>44052.989882331443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106622.61707251807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36">
        <f>D62*G3*12</f>
        <v>32507.929454170484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586182.09007306385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58618.209007306388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644800.29908037023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>
  <sheetPr>
    <tabColor indexed="9"/>
  </sheetPr>
  <dimension ref="A1:G66"/>
  <sheetViews>
    <sheetView workbookViewId="0">
      <selection activeCell="G1" sqref="G1:G1048576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2170.6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36">
        <f>D4*G3*12</f>
        <v>146172.37122127658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36">
        <f>D31*G3*12</f>
        <v>212200.08529218094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227917.6755999848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44700.375752312335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36">
        <f>D50*G3*12</f>
        <v>44061.109500778104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106642.26919989297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36">
        <f>D62*G3*12</f>
        <v>32513.921147001409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586290.13211344229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58629.013211344238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644919.14532478654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26" sqref="E2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855468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96826.08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383.5*12*16.39</f>
        <v>75426.78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383.5*4.65*12</f>
        <v>21399.300000000003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383.5*12*0.003</f>
        <v>13.806000000000001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383.5*12*2.54</f>
        <v>11689.08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383.5*12*2.11</f>
        <v>9710.2199999999993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383.5*12*2.6</f>
        <v>11965.2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383.5*12*1.92</f>
        <v>8835.84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383.5*12*2.34</f>
        <v>10768.679999999998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383.5*12*1.36</f>
        <v>6258.72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383.5*12*3.03</f>
        <v>13944.06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383.5*12*0.07</f>
        <v>322.14000000000004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383.5*12*0.42</f>
        <v>1932.84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75440.585999999996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-13.805999999996857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A26" s="4"/>
      <c r="B26" s="5" t="s">
        <v>14</v>
      </c>
      <c r="C26" s="12" t="s">
        <v>19</v>
      </c>
      <c r="D26" s="12"/>
      <c r="E26" s="20">
        <f>E7-E25</f>
        <v>21399.300000000003</v>
      </c>
    </row>
  </sheetData>
  <mergeCells count="3">
    <mergeCell ref="B23:E23"/>
    <mergeCell ref="A2:E2"/>
    <mergeCell ref="B9:E9"/>
  </mergeCells>
  <phoneticPr fontId="6" type="noConversion"/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>
  <sheetPr>
    <tabColor indexed="9"/>
  </sheetPr>
  <dimension ref="A1:G66"/>
  <sheetViews>
    <sheetView workbookViewId="0">
      <selection activeCell="E4" sqref="E4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2170.8000000000002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146185.83960524615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36">
        <f>D31*G3*12</f>
        <v>212219.63749758888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227938.67603079655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44704.494463797855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36">
        <f>D50*G3*12</f>
        <v>44065.169310001438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106652.09526358043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36">
        <f>D62*G3*12</f>
        <v>32516.916993416875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586344.15313363157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58634.415313363163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644978.56844699476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>
  <sheetPr>
    <tabColor indexed="9"/>
  </sheetPr>
  <dimension ref="A1:G66"/>
  <sheetViews>
    <sheetView workbookViewId="0">
      <selection activeCell="E4" sqref="E4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2174.5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146435.00470868236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36">
        <f>D31*G3*12</f>
        <v>212581.35329763545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228327.18400081404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44780.690626279909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36">
        <f>D50*G3*12</f>
        <v>44140.275780632997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106833.87744179823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36">
        <f>D62*G3*12</f>
        <v>32572.340152102905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587343.54200713185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58734.354200713176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646077.89620784507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G66"/>
  <sheetViews>
    <sheetView workbookViewId="0">
      <selection activeCell="E4" sqref="E4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2174.1999999999998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146414.80213272807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36">
        <f>D31*G3*12</f>
        <v>212552.02498952355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228295.68335459637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44774.512559051633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36">
        <f>D50*G3*12</f>
        <v>44134.186066798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106819.13834626705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36">
        <f>D62*G3*12</f>
        <v>32567.846382479711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587262.51047684788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58726.251047684797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645988.76152453269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honeticPr fontId="6" type="noConversion"/>
  <pageMargins left="0.75" right="0.75" top="1" bottom="1" header="0.5" footer="0.5"/>
  <headerFooter alignWithMargins="0"/>
</worksheet>
</file>

<file path=xl/worksheets/sheet153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G66"/>
  <sheetViews>
    <sheetView workbookViewId="0">
      <selection activeCell="E62" sqref="E62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2178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146670.7014281491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66">
        <f>D31*G3*12</f>
        <v>212923.51689227408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228694.69154001976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44852.768077276451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72">
        <f>D50*G3*12</f>
        <v>44211.322442041244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107005.83355632861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72">
        <f>D62*G3*12</f>
        <v>32624.767464373479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588288.90986044286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58828.890986044287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647117.80084648717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honeticPr fontId="6" type="noConversion"/>
  <pageMargins left="0.75" right="0.75" top="1" bottom="1" header="0.5" footer="0.5"/>
  <headerFooter alignWithMargins="0"/>
</worksheet>
</file>

<file path=xl/worksheets/sheet154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G66"/>
  <sheetViews>
    <sheetView topLeftCell="A49" workbookViewId="0">
      <selection activeCell="E62" sqref="E62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2174.6999999999998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146448.4730926519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66">
        <f>D31*G3*12</f>
        <v>212600.90550304332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228348.18443162576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44784.809337765422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66">
        <f>D50*G3*12</f>
        <v>44144.335589856324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106843.70350548567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73">
        <f>D62*G3*12</f>
        <v>32575.335998518367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587397.56302732101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58739.756302732094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646137.31933005305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honeticPr fontId="6" type="noConversion"/>
  <pageMargins left="0.75" right="0.75" top="1" bottom="1" header="0.5" footer="0.5"/>
  <headerFooter alignWithMargins="0"/>
</worksheet>
</file>

<file path=xl/worksheets/sheet155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G66"/>
  <sheetViews>
    <sheetView topLeftCell="A40" workbookViewId="0">
      <selection activeCell="E62" sqref="E62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2175.3000000000002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146488.8782445605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66">
        <f>D31*G3*12</f>
        <v>212659.56211926712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228411.1857240611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44797.165472221983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66">
        <f>D50*G3*12</f>
        <v>44156.515017526312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106873.18169654804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66">
        <f>D62*G3*12</f>
        <v>32584.323537764754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587559.62608788861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58755.962608788868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646315.58869667747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honeticPr fontId="6" type="noConversion"/>
  <pageMargins left="0.75" right="0.75" top="1" bottom="1" header="0.5" footer="0.5"/>
  <headerFooter alignWithMargins="0"/>
</worksheet>
</file>

<file path=xl/worksheets/sheet156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G66"/>
  <sheetViews>
    <sheetView topLeftCell="A19" workbookViewId="0">
      <selection activeCell="E31" sqref="E31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2174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146401.33374875854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66">
        <f>D31*G3*12</f>
        <v>212532.47278411561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228274.68292378463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44770.39384756612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36">
        <f>D50*G3*12</f>
        <v>44130.12625757468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106809.3122825796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36">
        <f>D62*G3*12</f>
        <v>32564.850536064252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587208.48945665883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58720.848945665879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645929.33840232471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honeticPr fontId="6" type="noConversion"/>
  <pageMargins left="0.75" right="0.75" top="1" bottom="1" header="0.5" footer="0.5"/>
  <headerFooter alignWithMargins="0"/>
</worksheet>
</file>

<file path=xl/worksheets/sheet157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G66"/>
  <sheetViews>
    <sheetView workbookViewId="0">
      <selection activeCell="E50" sqref="E50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2173.4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66">
        <f>D4*G3*12</f>
        <v>146360.92859684999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66">
        <f>D31*G3*12</f>
        <v>212473.81616789184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228211.68163134938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44758.037713109574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66">
        <f>D50*G3*12</f>
        <v>44117.9468299047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106779.83409151726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66">
        <f>D62*G3*12</f>
        <v>32555.862996817872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587046.42639609124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58704.642639609126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645751.06903570041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honeticPr fontId="6" type="noConversion"/>
  <pageMargins left="0.75" right="0.75" top="1" bottom="1" header="0.5" footer="0.5"/>
  <headerFooter alignWithMargins="0"/>
</worksheet>
</file>

<file path=xl/worksheets/sheet158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G66"/>
  <sheetViews>
    <sheetView workbookViewId="0">
      <selection activeCell="E50" sqref="E50"/>
    </sheetView>
  </sheetViews>
  <sheetFormatPr defaultRowHeight="12"/>
  <cols>
    <col min="1" max="1" width="94.42578125" style="121" customWidth="1"/>
    <col min="2" max="2" width="10.7109375" style="133" hidden="1" customWidth="1"/>
    <col min="3" max="3" width="12.85546875" style="121" hidden="1" customWidth="1"/>
    <col min="4" max="4" width="16" style="165" customWidth="1"/>
    <col min="5" max="5" width="25.140625" style="165" customWidth="1"/>
    <col min="6" max="6" width="30.85546875" style="121" customWidth="1"/>
    <col min="7" max="7" width="0" style="121" hidden="1" customWidth="1"/>
    <col min="8" max="256" width="9.140625" style="121"/>
    <col min="257" max="257" width="94.42578125" style="121" customWidth="1"/>
    <col min="258" max="259" width="0" style="121" hidden="1" customWidth="1"/>
    <col min="260" max="260" width="16" style="121" customWidth="1"/>
    <col min="261" max="261" width="25.140625" style="121" customWidth="1"/>
    <col min="262" max="262" width="59.28515625" style="121" customWidth="1"/>
    <col min="263" max="512" width="9.140625" style="121"/>
    <col min="513" max="513" width="94.42578125" style="121" customWidth="1"/>
    <col min="514" max="515" width="0" style="121" hidden="1" customWidth="1"/>
    <col min="516" max="516" width="16" style="121" customWidth="1"/>
    <col min="517" max="517" width="25.140625" style="121" customWidth="1"/>
    <col min="518" max="518" width="59.28515625" style="121" customWidth="1"/>
    <col min="519" max="768" width="9.140625" style="121"/>
    <col min="769" max="769" width="94.42578125" style="121" customWidth="1"/>
    <col min="770" max="771" width="0" style="121" hidden="1" customWidth="1"/>
    <col min="772" max="772" width="16" style="121" customWidth="1"/>
    <col min="773" max="773" width="25.140625" style="121" customWidth="1"/>
    <col min="774" max="774" width="59.28515625" style="121" customWidth="1"/>
    <col min="775" max="1024" width="9.140625" style="121"/>
    <col min="1025" max="1025" width="94.42578125" style="121" customWidth="1"/>
    <col min="1026" max="1027" width="0" style="121" hidden="1" customWidth="1"/>
    <col min="1028" max="1028" width="16" style="121" customWidth="1"/>
    <col min="1029" max="1029" width="25.140625" style="121" customWidth="1"/>
    <col min="1030" max="1030" width="59.28515625" style="121" customWidth="1"/>
    <col min="1031" max="1280" width="9.140625" style="121"/>
    <col min="1281" max="1281" width="94.42578125" style="121" customWidth="1"/>
    <col min="1282" max="1283" width="0" style="121" hidden="1" customWidth="1"/>
    <col min="1284" max="1284" width="16" style="121" customWidth="1"/>
    <col min="1285" max="1285" width="25.140625" style="121" customWidth="1"/>
    <col min="1286" max="1286" width="59.28515625" style="121" customWidth="1"/>
    <col min="1287" max="1536" width="9.140625" style="121"/>
    <col min="1537" max="1537" width="94.42578125" style="121" customWidth="1"/>
    <col min="1538" max="1539" width="0" style="121" hidden="1" customWidth="1"/>
    <col min="1540" max="1540" width="16" style="121" customWidth="1"/>
    <col min="1541" max="1541" width="25.140625" style="121" customWidth="1"/>
    <col min="1542" max="1542" width="59.28515625" style="121" customWidth="1"/>
    <col min="1543" max="1792" width="9.140625" style="121"/>
    <col min="1793" max="1793" width="94.42578125" style="121" customWidth="1"/>
    <col min="1794" max="1795" width="0" style="121" hidden="1" customWidth="1"/>
    <col min="1796" max="1796" width="16" style="121" customWidth="1"/>
    <col min="1797" max="1797" width="25.140625" style="121" customWidth="1"/>
    <col min="1798" max="1798" width="59.28515625" style="121" customWidth="1"/>
    <col min="1799" max="2048" width="9.140625" style="121"/>
    <col min="2049" max="2049" width="94.42578125" style="121" customWidth="1"/>
    <col min="2050" max="2051" width="0" style="121" hidden="1" customWidth="1"/>
    <col min="2052" max="2052" width="16" style="121" customWidth="1"/>
    <col min="2053" max="2053" width="25.140625" style="121" customWidth="1"/>
    <col min="2054" max="2054" width="59.28515625" style="121" customWidth="1"/>
    <col min="2055" max="2304" width="9.140625" style="121"/>
    <col min="2305" max="2305" width="94.42578125" style="121" customWidth="1"/>
    <col min="2306" max="2307" width="0" style="121" hidden="1" customWidth="1"/>
    <col min="2308" max="2308" width="16" style="121" customWidth="1"/>
    <col min="2309" max="2309" width="25.140625" style="121" customWidth="1"/>
    <col min="2310" max="2310" width="59.28515625" style="121" customWidth="1"/>
    <col min="2311" max="2560" width="9.140625" style="121"/>
    <col min="2561" max="2561" width="94.42578125" style="121" customWidth="1"/>
    <col min="2562" max="2563" width="0" style="121" hidden="1" customWidth="1"/>
    <col min="2564" max="2564" width="16" style="121" customWidth="1"/>
    <col min="2565" max="2565" width="25.140625" style="121" customWidth="1"/>
    <col min="2566" max="2566" width="59.28515625" style="121" customWidth="1"/>
    <col min="2567" max="2816" width="9.140625" style="121"/>
    <col min="2817" max="2817" width="94.42578125" style="121" customWidth="1"/>
    <col min="2818" max="2819" width="0" style="121" hidden="1" customWidth="1"/>
    <col min="2820" max="2820" width="16" style="121" customWidth="1"/>
    <col min="2821" max="2821" width="25.140625" style="121" customWidth="1"/>
    <col min="2822" max="2822" width="59.28515625" style="121" customWidth="1"/>
    <col min="2823" max="3072" width="9.140625" style="121"/>
    <col min="3073" max="3073" width="94.42578125" style="121" customWidth="1"/>
    <col min="3074" max="3075" width="0" style="121" hidden="1" customWidth="1"/>
    <col min="3076" max="3076" width="16" style="121" customWidth="1"/>
    <col min="3077" max="3077" width="25.140625" style="121" customWidth="1"/>
    <col min="3078" max="3078" width="59.28515625" style="121" customWidth="1"/>
    <col min="3079" max="3328" width="9.140625" style="121"/>
    <col min="3329" max="3329" width="94.42578125" style="121" customWidth="1"/>
    <col min="3330" max="3331" width="0" style="121" hidden="1" customWidth="1"/>
    <col min="3332" max="3332" width="16" style="121" customWidth="1"/>
    <col min="3333" max="3333" width="25.140625" style="121" customWidth="1"/>
    <col min="3334" max="3334" width="59.28515625" style="121" customWidth="1"/>
    <col min="3335" max="3584" width="9.140625" style="121"/>
    <col min="3585" max="3585" width="94.42578125" style="121" customWidth="1"/>
    <col min="3586" max="3587" width="0" style="121" hidden="1" customWidth="1"/>
    <col min="3588" max="3588" width="16" style="121" customWidth="1"/>
    <col min="3589" max="3589" width="25.140625" style="121" customWidth="1"/>
    <col min="3590" max="3590" width="59.28515625" style="121" customWidth="1"/>
    <col min="3591" max="3840" width="9.140625" style="121"/>
    <col min="3841" max="3841" width="94.42578125" style="121" customWidth="1"/>
    <col min="3842" max="3843" width="0" style="121" hidden="1" customWidth="1"/>
    <col min="3844" max="3844" width="16" style="121" customWidth="1"/>
    <col min="3845" max="3845" width="25.140625" style="121" customWidth="1"/>
    <col min="3846" max="3846" width="59.28515625" style="121" customWidth="1"/>
    <col min="3847" max="4096" width="9.140625" style="121"/>
    <col min="4097" max="4097" width="94.42578125" style="121" customWidth="1"/>
    <col min="4098" max="4099" width="0" style="121" hidden="1" customWidth="1"/>
    <col min="4100" max="4100" width="16" style="121" customWidth="1"/>
    <col min="4101" max="4101" width="25.140625" style="121" customWidth="1"/>
    <col min="4102" max="4102" width="59.28515625" style="121" customWidth="1"/>
    <col min="4103" max="4352" width="9.140625" style="121"/>
    <col min="4353" max="4353" width="94.42578125" style="121" customWidth="1"/>
    <col min="4354" max="4355" width="0" style="121" hidden="1" customWidth="1"/>
    <col min="4356" max="4356" width="16" style="121" customWidth="1"/>
    <col min="4357" max="4357" width="25.140625" style="121" customWidth="1"/>
    <col min="4358" max="4358" width="59.28515625" style="121" customWidth="1"/>
    <col min="4359" max="4608" width="9.140625" style="121"/>
    <col min="4609" max="4609" width="94.42578125" style="121" customWidth="1"/>
    <col min="4610" max="4611" width="0" style="121" hidden="1" customWidth="1"/>
    <col min="4612" max="4612" width="16" style="121" customWidth="1"/>
    <col min="4613" max="4613" width="25.140625" style="121" customWidth="1"/>
    <col min="4614" max="4614" width="59.28515625" style="121" customWidth="1"/>
    <col min="4615" max="4864" width="9.140625" style="121"/>
    <col min="4865" max="4865" width="94.42578125" style="121" customWidth="1"/>
    <col min="4866" max="4867" width="0" style="121" hidden="1" customWidth="1"/>
    <col min="4868" max="4868" width="16" style="121" customWidth="1"/>
    <col min="4869" max="4869" width="25.140625" style="121" customWidth="1"/>
    <col min="4870" max="4870" width="59.28515625" style="121" customWidth="1"/>
    <col min="4871" max="5120" width="9.140625" style="121"/>
    <col min="5121" max="5121" width="94.42578125" style="121" customWidth="1"/>
    <col min="5122" max="5123" width="0" style="121" hidden="1" customWidth="1"/>
    <col min="5124" max="5124" width="16" style="121" customWidth="1"/>
    <col min="5125" max="5125" width="25.140625" style="121" customWidth="1"/>
    <col min="5126" max="5126" width="59.28515625" style="121" customWidth="1"/>
    <col min="5127" max="5376" width="9.140625" style="121"/>
    <col min="5377" max="5377" width="94.42578125" style="121" customWidth="1"/>
    <col min="5378" max="5379" width="0" style="121" hidden="1" customWidth="1"/>
    <col min="5380" max="5380" width="16" style="121" customWidth="1"/>
    <col min="5381" max="5381" width="25.140625" style="121" customWidth="1"/>
    <col min="5382" max="5382" width="59.28515625" style="121" customWidth="1"/>
    <col min="5383" max="5632" width="9.140625" style="121"/>
    <col min="5633" max="5633" width="94.42578125" style="121" customWidth="1"/>
    <col min="5634" max="5635" width="0" style="121" hidden="1" customWidth="1"/>
    <col min="5636" max="5636" width="16" style="121" customWidth="1"/>
    <col min="5637" max="5637" width="25.140625" style="121" customWidth="1"/>
    <col min="5638" max="5638" width="59.28515625" style="121" customWidth="1"/>
    <col min="5639" max="5888" width="9.140625" style="121"/>
    <col min="5889" max="5889" width="94.42578125" style="121" customWidth="1"/>
    <col min="5890" max="5891" width="0" style="121" hidden="1" customWidth="1"/>
    <col min="5892" max="5892" width="16" style="121" customWidth="1"/>
    <col min="5893" max="5893" width="25.140625" style="121" customWidth="1"/>
    <col min="5894" max="5894" width="59.28515625" style="121" customWidth="1"/>
    <col min="5895" max="6144" width="9.140625" style="121"/>
    <col min="6145" max="6145" width="94.42578125" style="121" customWidth="1"/>
    <col min="6146" max="6147" width="0" style="121" hidden="1" customWidth="1"/>
    <col min="6148" max="6148" width="16" style="121" customWidth="1"/>
    <col min="6149" max="6149" width="25.140625" style="121" customWidth="1"/>
    <col min="6150" max="6150" width="59.28515625" style="121" customWidth="1"/>
    <col min="6151" max="6400" width="9.140625" style="121"/>
    <col min="6401" max="6401" width="94.42578125" style="121" customWidth="1"/>
    <col min="6402" max="6403" width="0" style="121" hidden="1" customWidth="1"/>
    <col min="6404" max="6404" width="16" style="121" customWidth="1"/>
    <col min="6405" max="6405" width="25.140625" style="121" customWidth="1"/>
    <col min="6406" max="6406" width="59.28515625" style="121" customWidth="1"/>
    <col min="6407" max="6656" width="9.140625" style="121"/>
    <col min="6657" max="6657" width="94.42578125" style="121" customWidth="1"/>
    <col min="6658" max="6659" width="0" style="121" hidden="1" customWidth="1"/>
    <col min="6660" max="6660" width="16" style="121" customWidth="1"/>
    <col min="6661" max="6661" width="25.140625" style="121" customWidth="1"/>
    <col min="6662" max="6662" width="59.28515625" style="121" customWidth="1"/>
    <col min="6663" max="6912" width="9.140625" style="121"/>
    <col min="6913" max="6913" width="94.42578125" style="121" customWidth="1"/>
    <col min="6914" max="6915" width="0" style="121" hidden="1" customWidth="1"/>
    <col min="6916" max="6916" width="16" style="121" customWidth="1"/>
    <col min="6917" max="6917" width="25.140625" style="121" customWidth="1"/>
    <col min="6918" max="6918" width="59.28515625" style="121" customWidth="1"/>
    <col min="6919" max="7168" width="9.140625" style="121"/>
    <col min="7169" max="7169" width="94.42578125" style="121" customWidth="1"/>
    <col min="7170" max="7171" width="0" style="121" hidden="1" customWidth="1"/>
    <col min="7172" max="7172" width="16" style="121" customWidth="1"/>
    <col min="7173" max="7173" width="25.140625" style="121" customWidth="1"/>
    <col min="7174" max="7174" width="59.28515625" style="121" customWidth="1"/>
    <col min="7175" max="7424" width="9.140625" style="121"/>
    <col min="7425" max="7425" width="94.42578125" style="121" customWidth="1"/>
    <col min="7426" max="7427" width="0" style="121" hidden="1" customWidth="1"/>
    <col min="7428" max="7428" width="16" style="121" customWidth="1"/>
    <col min="7429" max="7429" width="25.140625" style="121" customWidth="1"/>
    <col min="7430" max="7430" width="59.28515625" style="121" customWidth="1"/>
    <col min="7431" max="7680" width="9.140625" style="121"/>
    <col min="7681" max="7681" width="94.42578125" style="121" customWidth="1"/>
    <col min="7682" max="7683" width="0" style="121" hidden="1" customWidth="1"/>
    <col min="7684" max="7684" width="16" style="121" customWidth="1"/>
    <col min="7685" max="7685" width="25.140625" style="121" customWidth="1"/>
    <col min="7686" max="7686" width="59.28515625" style="121" customWidth="1"/>
    <col min="7687" max="7936" width="9.140625" style="121"/>
    <col min="7937" max="7937" width="94.42578125" style="121" customWidth="1"/>
    <col min="7938" max="7939" width="0" style="121" hidden="1" customWidth="1"/>
    <col min="7940" max="7940" width="16" style="121" customWidth="1"/>
    <col min="7941" max="7941" width="25.140625" style="121" customWidth="1"/>
    <col min="7942" max="7942" width="59.28515625" style="121" customWidth="1"/>
    <col min="7943" max="8192" width="9.140625" style="121"/>
    <col min="8193" max="8193" width="94.42578125" style="121" customWidth="1"/>
    <col min="8194" max="8195" width="0" style="121" hidden="1" customWidth="1"/>
    <col min="8196" max="8196" width="16" style="121" customWidth="1"/>
    <col min="8197" max="8197" width="25.140625" style="121" customWidth="1"/>
    <col min="8198" max="8198" width="59.28515625" style="121" customWidth="1"/>
    <col min="8199" max="8448" width="9.140625" style="121"/>
    <col min="8449" max="8449" width="94.42578125" style="121" customWidth="1"/>
    <col min="8450" max="8451" width="0" style="121" hidden="1" customWidth="1"/>
    <col min="8452" max="8452" width="16" style="121" customWidth="1"/>
    <col min="8453" max="8453" width="25.140625" style="121" customWidth="1"/>
    <col min="8454" max="8454" width="59.28515625" style="121" customWidth="1"/>
    <col min="8455" max="8704" width="9.140625" style="121"/>
    <col min="8705" max="8705" width="94.42578125" style="121" customWidth="1"/>
    <col min="8706" max="8707" width="0" style="121" hidden="1" customWidth="1"/>
    <col min="8708" max="8708" width="16" style="121" customWidth="1"/>
    <col min="8709" max="8709" width="25.140625" style="121" customWidth="1"/>
    <col min="8710" max="8710" width="59.28515625" style="121" customWidth="1"/>
    <col min="8711" max="8960" width="9.140625" style="121"/>
    <col min="8961" max="8961" width="94.42578125" style="121" customWidth="1"/>
    <col min="8962" max="8963" width="0" style="121" hidden="1" customWidth="1"/>
    <col min="8964" max="8964" width="16" style="121" customWidth="1"/>
    <col min="8965" max="8965" width="25.140625" style="121" customWidth="1"/>
    <col min="8966" max="8966" width="59.28515625" style="121" customWidth="1"/>
    <col min="8967" max="9216" width="9.140625" style="121"/>
    <col min="9217" max="9217" width="94.42578125" style="121" customWidth="1"/>
    <col min="9218" max="9219" width="0" style="121" hidden="1" customWidth="1"/>
    <col min="9220" max="9220" width="16" style="121" customWidth="1"/>
    <col min="9221" max="9221" width="25.140625" style="121" customWidth="1"/>
    <col min="9222" max="9222" width="59.28515625" style="121" customWidth="1"/>
    <col min="9223" max="9472" width="9.140625" style="121"/>
    <col min="9473" max="9473" width="94.42578125" style="121" customWidth="1"/>
    <col min="9474" max="9475" width="0" style="121" hidden="1" customWidth="1"/>
    <col min="9476" max="9476" width="16" style="121" customWidth="1"/>
    <col min="9477" max="9477" width="25.140625" style="121" customWidth="1"/>
    <col min="9478" max="9478" width="59.28515625" style="121" customWidth="1"/>
    <col min="9479" max="9728" width="9.140625" style="121"/>
    <col min="9729" max="9729" width="94.42578125" style="121" customWidth="1"/>
    <col min="9730" max="9731" width="0" style="121" hidden="1" customWidth="1"/>
    <col min="9732" max="9732" width="16" style="121" customWidth="1"/>
    <col min="9733" max="9733" width="25.140625" style="121" customWidth="1"/>
    <col min="9734" max="9734" width="59.28515625" style="121" customWidth="1"/>
    <col min="9735" max="9984" width="9.140625" style="121"/>
    <col min="9985" max="9985" width="94.42578125" style="121" customWidth="1"/>
    <col min="9986" max="9987" width="0" style="121" hidden="1" customWidth="1"/>
    <col min="9988" max="9988" width="16" style="121" customWidth="1"/>
    <col min="9989" max="9989" width="25.140625" style="121" customWidth="1"/>
    <col min="9990" max="9990" width="59.28515625" style="121" customWidth="1"/>
    <col min="9991" max="10240" width="9.140625" style="121"/>
    <col min="10241" max="10241" width="94.42578125" style="121" customWidth="1"/>
    <col min="10242" max="10243" width="0" style="121" hidden="1" customWidth="1"/>
    <col min="10244" max="10244" width="16" style="121" customWidth="1"/>
    <col min="10245" max="10245" width="25.140625" style="121" customWidth="1"/>
    <col min="10246" max="10246" width="59.28515625" style="121" customWidth="1"/>
    <col min="10247" max="10496" width="9.140625" style="121"/>
    <col min="10497" max="10497" width="94.42578125" style="121" customWidth="1"/>
    <col min="10498" max="10499" width="0" style="121" hidden="1" customWidth="1"/>
    <col min="10500" max="10500" width="16" style="121" customWidth="1"/>
    <col min="10501" max="10501" width="25.140625" style="121" customWidth="1"/>
    <col min="10502" max="10502" width="59.28515625" style="121" customWidth="1"/>
    <col min="10503" max="10752" width="9.140625" style="121"/>
    <col min="10753" max="10753" width="94.42578125" style="121" customWidth="1"/>
    <col min="10754" max="10755" width="0" style="121" hidden="1" customWidth="1"/>
    <col min="10756" max="10756" width="16" style="121" customWidth="1"/>
    <col min="10757" max="10757" width="25.140625" style="121" customWidth="1"/>
    <col min="10758" max="10758" width="59.28515625" style="121" customWidth="1"/>
    <col min="10759" max="11008" width="9.140625" style="121"/>
    <col min="11009" max="11009" width="94.42578125" style="121" customWidth="1"/>
    <col min="11010" max="11011" width="0" style="121" hidden="1" customWidth="1"/>
    <col min="11012" max="11012" width="16" style="121" customWidth="1"/>
    <col min="11013" max="11013" width="25.140625" style="121" customWidth="1"/>
    <col min="11014" max="11014" width="59.28515625" style="121" customWidth="1"/>
    <col min="11015" max="11264" width="9.140625" style="121"/>
    <col min="11265" max="11265" width="94.42578125" style="121" customWidth="1"/>
    <col min="11266" max="11267" width="0" style="121" hidden="1" customWidth="1"/>
    <col min="11268" max="11268" width="16" style="121" customWidth="1"/>
    <col min="11269" max="11269" width="25.140625" style="121" customWidth="1"/>
    <col min="11270" max="11270" width="59.28515625" style="121" customWidth="1"/>
    <col min="11271" max="11520" width="9.140625" style="121"/>
    <col min="11521" max="11521" width="94.42578125" style="121" customWidth="1"/>
    <col min="11522" max="11523" width="0" style="121" hidden="1" customWidth="1"/>
    <col min="11524" max="11524" width="16" style="121" customWidth="1"/>
    <col min="11525" max="11525" width="25.140625" style="121" customWidth="1"/>
    <col min="11526" max="11526" width="59.28515625" style="121" customWidth="1"/>
    <col min="11527" max="11776" width="9.140625" style="121"/>
    <col min="11777" max="11777" width="94.42578125" style="121" customWidth="1"/>
    <col min="11778" max="11779" width="0" style="121" hidden="1" customWidth="1"/>
    <col min="11780" max="11780" width="16" style="121" customWidth="1"/>
    <col min="11781" max="11781" width="25.140625" style="121" customWidth="1"/>
    <col min="11782" max="11782" width="59.28515625" style="121" customWidth="1"/>
    <col min="11783" max="12032" width="9.140625" style="121"/>
    <col min="12033" max="12033" width="94.42578125" style="121" customWidth="1"/>
    <col min="12034" max="12035" width="0" style="121" hidden="1" customWidth="1"/>
    <col min="12036" max="12036" width="16" style="121" customWidth="1"/>
    <col min="12037" max="12037" width="25.140625" style="121" customWidth="1"/>
    <col min="12038" max="12038" width="59.28515625" style="121" customWidth="1"/>
    <col min="12039" max="12288" width="9.140625" style="121"/>
    <col min="12289" max="12289" width="94.42578125" style="121" customWidth="1"/>
    <col min="12290" max="12291" width="0" style="121" hidden="1" customWidth="1"/>
    <col min="12292" max="12292" width="16" style="121" customWidth="1"/>
    <col min="12293" max="12293" width="25.140625" style="121" customWidth="1"/>
    <col min="12294" max="12294" width="59.28515625" style="121" customWidth="1"/>
    <col min="12295" max="12544" width="9.140625" style="121"/>
    <col min="12545" max="12545" width="94.42578125" style="121" customWidth="1"/>
    <col min="12546" max="12547" width="0" style="121" hidden="1" customWidth="1"/>
    <col min="12548" max="12548" width="16" style="121" customWidth="1"/>
    <col min="12549" max="12549" width="25.140625" style="121" customWidth="1"/>
    <col min="12550" max="12550" width="59.28515625" style="121" customWidth="1"/>
    <col min="12551" max="12800" width="9.140625" style="121"/>
    <col min="12801" max="12801" width="94.42578125" style="121" customWidth="1"/>
    <col min="12802" max="12803" width="0" style="121" hidden="1" customWidth="1"/>
    <col min="12804" max="12804" width="16" style="121" customWidth="1"/>
    <col min="12805" max="12805" width="25.140625" style="121" customWidth="1"/>
    <col min="12806" max="12806" width="59.28515625" style="121" customWidth="1"/>
    <col min="12807" max="13056" width="9.140625" style="121"/>
    <col min="13057" max="13057" width="94.42578125" style="121" customWidth="1"/>
    <col min="13058" max="13059" width="0" style="121" hidden="1" customWidth="1"/>
    <col min="13060" max="13060" width="16" style="121" customWidth="1"/>
    <col min="13061" max="13061" width="25.140625" style="121" customWidth="1"/>
    <col min="13062" max="13062" width="59.28515625" style="121" customWidth="1"/>
    <col min="13063" max="13312" width="9.140625" style="121"/>
    <col min="13313" max="13313" width="94.42578125" style="121" customWidth="1"/>
    <col min="13314" max="13315" width="0" style="121" hidden="1" customWidth="1"/>
    <col min="13316" max="13316" width="16" style="121" customWidth="1"/>
    <col min="13317" max="13317" width="25.140625" style="121" customWidth="1"/>
    <col min="13318" max="13318" width="59.28515625" style="121" customWidth="1"/>
    <col min="13319" max="13568" width="9.140625" style="121"/>
    <col min="13569" max="13569" width="94.42578125" style="121" customWidth="1"/>
    <col min="13570" max="13571" width="0" style="121" hidden="1" customWidth="1"/>
    <col min="13572" max="13572" width="16" style="121" customWidth="1"/>
    <col min="13573" max="13573" width="25.140625" style="121" customWidth="1"/>
    <col min="13574" max="13574" width="59.28515625" style="121" customWidth="1"/>
    <col min="13575" max="13824" width="9.140625" style="121"/>
    <col min="13825" max="13825" width="94.42578125" style="121" customWidth="1"/>
    <col min="13826" max="13827" width="0" style="121" hidden="1" customWidth="1"/>
    <col min="13828" max="13828" width="16" style="121" customWidth="1"/>
    <col min="13829" max="13829" width="25.140625" style="121" customWidth="1"/>
    <col min="13830" max="13830" width="59.28515625" style="121" customWidth="1"/>
    <col min="13831" max="14080" width="9.140625" style="121"/>
    <col min="14081" max="14081" width="94.42578125" style="121" customWidth="1"/>
    <col min="14082" max="14083" width="0" style="121" hidden="1" customWidth="1"/>
    <col min="14084" max="14084" width="16" style="121" customWidth="1"/>
    <col min="14085" max="14085" width="25.140625" style="121" customWidth="1"/>
    <col min="14086" max="14086" width="59.28515625" style="121" customWidth="1"/>
    <col min="14087" max="14336" width="9.140625" style="121"/>
    <col min="14337" max="14337" width="94.42578125" style="121" customWidth="1"/>
    <col min="14338" max="14339" width="0" style="121" hidden="1" customWidth="1"/>
    <col min="14340" max="14340" width="16" style="121" customWidth="1"/>
    <col min="14341" max="14341" width="25.140625" style="121" customWidth="1"/>
    <col min="14342" max="14342" width="59.28515625" style="121" customWidth="1"/>
    <col min="14343" max="14592" width="9.140625" style="121"/>
    <col min="14593" max="14593" width="94.42578125" style="121" customWidth="1"/>
    <col min="14594" max="14595" width="0" style="121" hidden="1" customWidth="1"/>
    <col min="14596" max="14596" width="16" style="121" customWidth="1"/>
    <col min="14597" max="14597" width="25.140625" style="121" customWidth="1"/>
    <col min="14598" max="14598" width="59.28515625" style="121" customWidth="1"/>
    <col min="14599" max="14848" width="9.140625" style="121"/>
    <col min="14849" max="14849" width="94.42578125" style="121" customWidth="1"/>
    <col min="14850" max="14851" width="0" style="121" hidden="1" customWidth="1"/>
    <col min="14852" max="14852" width="16" style="121" customWidth="1"/>
    <col min="14853" max="14853" width="25.140625" style="121" customWidth="1"/>
    <col min="14854" max="14854" width="59.28515625" style="121" customWidth="1"/>
    <col min="14855" max="15104" width="9.140625" style="121"/>
    <col min="15105" max="15105" width="94.42578125" style="121" customWidth="1"/>
    <col min="15106" max="15107" width="0" style="121" hidden="1" customWidth="1"/>
    <col min="15108" max="15108" width="16" style="121" customWidth="1"/>
    <col min="15109" max="15109" width="25.140625" style="121" customWidth="1"/>
    <col min="15110" max="15110" width="59.28515625" style="121" customWidth="1"/>
    <col min="15111" max="15360" width="9.140625" style="121"/>
    <col min="15361" max="15361" width="94.42578125" style="121" customWidth="1"/>
    <col min="15362" max="15363" width="0" style="121" hidden="1" customWidth="1"/>
    <col min="15364" max="15364" width="16" style="121" customWidth="1"/>
    <col min="15365" max="15365" width="25.140625" style="121" customWidth="1"/>
    <col min="15366" max="15366" width="59.28515625" style="121" customWidth="1"/>
    <col min="15367" max="15616" width="9.140625" style="121"/>
    <col min="15617" max="15617" width="94.42578125" style="121" customWidth="1"/>
    <col min="15618" max="15619" width="0" style="121" hidden="1" customWidth="1"/>
    <col min="15620" max="15620" width="16" style="121" customWidth="1"/>
    <col min="15621" max="15621" width="25.140625" style="121" customWidth="1"/>
    <col min="15622" max="15622" width="59.28515625" style="121" customWidth="1"/>
    <col min="15623" max="15872" width="9.140625" style="121"/>
    <col min="15873" max="15873" width="94.42578125" style="121" customWidth="1"/>
    <col min="15874" max="15875" width="0" style="121" hidden="1" customWidth="1"/>
    <col min="15876" max="15876" width="16" style="121" customWidth="1"/>
    <col min="15877" max="15877" width="25.140625" style="121" customWidth="1"/>
    <col min="15878" max="15878" width="59.28515625" style="121" customWidth="1"/>
    <col min="15879" max="16128" width="9.140625" style="121"/>
    <col min="16129" max="16129" width="94.42578125" style="121" customWidth="1"/>
    <col min="16130" max="16131" width="0" style="121" hidden="1" customWidth="1"/>
    <col min="16132" max="16132" width="16" style="121" customWidth="1"/>
    <col min="16133" max="16133" width="25.140625" style="121" customWidth="1"/>
    <col min="16134" max="16134" width="59.28515625" style="121" customWidth="1"/>
    <col min="16135" max="16384" width="9.140625" style="121"/>
  </cols>
  <sheetData>
    <row r="1" spans="1:7" ht="30.75" customHeight="1">
      <c r="A1" s="90" t="s">
        <v>26</v>
      </c>
      <c r="B1" s="90"/>
      <c r="C1" s="90"/>
      <c r="D1" s="90"/>
      <c r="E1" s="90"/>
    </row>
    <row r="2" spans="1:7" ht="16.350000000000001" customHeight="1" thickBot="1">
      <c r="A2" s="122"/>
      <c r="B2" s="122"/>
      <c r="C2" s="123"/>
      <c r="D2" s="169"/>
    </row>
    <row r="3" spans="1:7" s="124" customFormat="1" ht="38.25" customHeight="1">
      <c r="A3" s="116" t="s">
        <v>106</v>
      </c>
      <c r="B3" s="117" t="s">
        <v>107</v>
      </c>
      <c r="C3" s="118" t="s">
        <v>108</v>
      </c>
      <c r="D3" s="118" t="s">
        <v>109</v>
      </c>
      <c r="E3" s="134" t="s">
        <v>105</v>
      </c>
      <c r="G3" s="124">
        <v>2172</v>
      </c>
    </row>
    <row r="4" spans="1:7" ht="47.25" customHeight="1">
      <c r="A4" s="119" t="s">
        <v>81</v>
      </c>
      <c r="B4" s="120">
        <f>D4*2171.6*12</f>
        <v>146239.71314112423</v>
      </c>
      <c r="C4" s="125"/>
      <c r="D4" s="131">
        <f>'[1]расчет-жилье'!D26:E26*0.25</f>
        <v>5.6118266539695858</v>
      </c>
      <c r="E4" s="173">
        <f>D4*G3*12</f>
        <v>146266.64990906327</v>
      </c>
    </row>
    <row r="5" spans="1:7" ht="28.9" customHeight="1">
      <c r="A5" s="126" t="s">
        <v>110</v>
      </c>
      <c r="B5" s="126"/>
      <c r="C5" s="126"/>
      <c r="D5" s="126"/>
      <c r="E5" s="136"/>
    </row>
    <row r="6" spans="1:7" ht="13.9" customHeight="1">
      <c r="A6" s="127" t="s">
        <v>111</v>
      </c>
      <c r="B6" s="128"/>
      <c r="C6" s="128"/>
      <c r="D6" s="128"/>
      <c r="E6" s="129"/>
    </row>
    <row r="7" spans="1:7" ht="57" customHeight="1">
      <c r="A7" s="137" t="s">
        <v>112</v>
      </c>
      <c r="B7" s="138"/>
      <c r="C7" s="138"/>
      <c r="D7" s="138"/>
      <c r="E7" s="139"/>
    </row>
    <row r="8" spans="1:7" ht="13.9" customHeight="1">
      <c r="A8" s="148" t="s">
        <v>113</v>
      </c>
      <c r="B8" s="148"/>
      <c r="C8" s="148"/>
      <c r="D8" s="148"/>
      <c r="E8" s="136"/>
    </row>
    <row r="9" spans="1:7" ht="96.95" customHeight="1">
      <c r="A9" s="137" t="s">
        <v>114</v>
      </c>
      <c r="B9" s="138"/>
      <c r="C9" s="138"/>
      <c r="D9" s="138"/>
      <c r="E9" s="139"/>
    </row>
    <row r="10" spans="1:7" ht="13.9" customHeight="1">
      <c r="A10" s="148" t="s">
        <v>115</v>
      </c>
      <c r="B10" s="148"/>
      <c r="C10" s="148"/>
      <c r="D10" s="148"/>
      <c r="E10" s="136"/>
    </row>
    <row r="11" spans="1:7" ht="63.6" customHeight="1">
      <c r="A11" s="137" t="s">
        <v>116</v>
      </c>
      <c r="B11" s="138"/>
      <c r="C11" s="138"/>
      <c r="D11" s="138"/>
      <c r="E11" s="139"/>
    </row>
    <row r="12" spans="1:7" ht="17.25" customHeight="1">
      <c r="A12" s="148" t="s">
        <v>117</v>
      </c>
      <c r="B12" s="148"/>
      <c r="C12" s="148"/>
      <c r="D12" s="148"/>
      <c r="E12" s="136"/>
    </row>
    <row r="13" spans="1:7" ht="46.5" customHeight="1">
      <c r="A13" s="137" t="s">
        <v>118</v>
      </c>
      <c r="B13" s="138"/>
      <c r="C13" s="138"/>
      <c r="D13" s="138"/>
      <c r="E13" s="139"/>
    </row>
    <row r="14" spans="1:7" ht="13.9" customHeight="1">
      <c r="A14" s="148" t="s">
        <v>119</v>
      </c>
      <c r="B14" s="148"/>
      <c r="C14" s="148"/>
      <c r="D14" s="148"/>
      <c r="E14" s="136"/>
    </row>
    <row r="15" spans="1:7" ht="46.5" customHeight="1">
      <c r="A15" s="137" t="s">
        <v>120</v>
      </c>
      <c r="B15" s="138"/>
      <c r="C15" s="138"/>
      <c r="D15" s="138"/>
      <c r="E15" s="139"/>
    </row>
    <row r="16" spans="1:7" ht="13.15" customHeight="1">
      <c r="A16" s="137" t="s">
        <v>121</v>
      </c>
      <c r="B16" s="138"/>
      <c r="C16" s="138"/>
      <c r="D16" s="138"/>
      <c r="E16" s="139"/>
    </row>
    <row r="17" spans="1:7" ht="13.9" customHeight="1">
      <c r="A17" s="127" t="s">
        <v>122</v>
      </c>
      <c r="B17" s="128"/>
      <c r="C17" s="128"/>
      <c r="D17" s="129"/>
      <c r="E17" s="136"/>
    </row>
    <row r="18" spans="1:7" ht="109.5" customHeight="1">
      <c r="A18" s="137" t="s">
        <v>159</v>
      </c>
      <c r="B18" s="138"/>
      <c r="C18" s="138"/>
      <c r="D18" s="138"/>
      <c r="E18" s="139"/>
    </row>
    <row r="19" spans="1:7" ht="13.9" customHeight="1">
      <c r="A19" s="148" t="s">
        <v>123</v>
      </c>
      <c r="B19" s="148"/>
      <c r="C19" s="148"/>
      <c r="D19" s="148"/>
      <c r="E19" s="136"/>
    </row>
    <row r="20" spans="1:7" ht="54.4" customHeight="1">
      <c r="A20" s="161" t="s">
        <v>124</v>
      </c>
      <c r="B20" s="162"/>
      <c r="C20" s="162"/>
      <c r="D20" s="162"/>
      <c r="E20" s="163"/>
    </row>
    <row r="21" spans="1:7" ht="13.9" customHeight="1">
      <c r="A21" s="148" t="s">
        <v>125</v>
      </c>
      <c r="B21" s="148"/>
      <c r="C21" s="148"/>
      <c r="D21" s="148"/>
      <c r="E21" s="136"/>
    </row>
    <row r="22" spans="1:7" ht="66.400000000000006" customHeight="1">
      <c r="A22" s="137" t="s">
        <v>126</v>
      </c>
      <c r="B22" s="138"/>
      <c r="C22" s="138"/>
      <c r="D22" s="138"/>
      <c r="E22" s="139"/>
      <c r="F22" s="130"/>
      <c r="G22" s="130"/>
    </row>
    <row r="23" spans="1:7" ht="13.9" customHeight="1">
      <c r="A23" s="148" t="s">
        <v>127</v>
      </c>
      <c r="B23" s="148"/>
      <c r="C23" s="148"/>
      <c r="D23" s="148"/>
      <c r="E23" s="136"/>
    </row>
    <row r="24" spans="1:7" ht="43.9" customHeight="1">
      <c r="A24" s="137" t="s">
        <v>128</v>
      </c>
      <c r="B24" s="138"/>
      <c r="C24" s="138"/>
      <c r="D24" s="138"/>
      <c r="E24" s="139"/>
    </row>
    <row r="25" spans="1:7" ht="13.9" customHeight="1">
      <c r="A25" s="148" t="s">
        <v>129</v>
      </c>
      <c r="B25" s="148"/>
      <c r="C25" s="148"/>
      <c r="D25" s="148"/>
      <c r="E25" s="136"/>
    </row>
    <row r="26" spans="1:7" ht="22.9" customHeight="1">
      <c r="A26" s="137" t="s">
        <v>130</v>
      </c>
      <c r="B26" s="138"/>
      <c r="C26" s="138"/>
      <c r="D26" s="138"/>
      <c r="E26" s="139"/>
    </row>
    <row r="27" spans="1:7" ht="13.9" customHeight="1">
      <c r="A27" s="148" t="s">
        <v>131</v>
      </c>
      <c r="B27" s="148"/>
      <c r="C27" s="148"/>
      <c r="D27" s="148"/>
      <c r="E27" s="136"/>
    </row>
    <row r="28" spans="1:7" ht="24.4" customHeight="1">
      <c r="A28" s="149" t="s">
        <v>132</v>
      </c>
      <c r="B28" s="149"/>
      <c r="C28" s="149"/>
      <c r="D28" s="149"/>
      <c r="E28" s="149"/>
    </row>
    <row r="29" spans="1:7" ht="13.9" customHeight="1">
      <c r="A29" s="148" t="s">
        <v>133</v>
      </c>
      <c r="B29" s="148"/>
      <c r="C29" s="148"/>
      <c r="D29" s="148"/>
      <c r="E29" s="136"/>
    </row>
    <row r="30" spans="1:7" ht="43.15" customHeight="1">
      <c r="A30" s="149" t="s">
        <v>134</v>
      </c>
      <c r="B30" s="149"/>
      <c r="C30" s="149"/>
      <c r="D30" s="149"/>
      <c r="E30" s="149"/>
    </row>
    <row r="31" spans="1:7" ht="39.75" customHeight="1">
      <c r="A31" s="119" t="s">
        <v>92</v>
      </c>
      <c r="B31" s="120">
        <f>D31*2171.6*12</f>
        <v>212297.84631922055</v>
      </c>
      <c r="C31" s="120"/>
      <c r="D31" s="164">
        <f>'[1]расчет-жилье'!F15+('[1]расчет-жилье'!D24:E24*0.25)</f>
        <v>8.1467522533009671</v>
      </c>
      <c r="E31" s="166">
        <f>D31*G3*12</f>
        <v>212336.95073003642</v>
      </c>
    </row>
    <row r="32" spans="1:7" ht="13.9" customHeight="1">
      <c r="A32" s="150" t="s">
        <v>135</v>
      </c>
      <c r="B32" s="151"/>
      <c r="C32" s="120"/>
      <c r="D32" s="164"/>
      <c r="E32" s="136"/>
    </row>
    <row r="33" spans="1:5" ht="57.75" customHeight="1">
      <c r="A33" s="149" t="s">
        <v>136</v>
      </c>
      <c r="B33" s="149"/>
      <c r="C33" s="149"/>
      <c r="D33" s="149"/>
      <c r="E33" s="149"/>
    </row>
    <row r="34" spans="1:5" ht="21.75" customHeight="1">
      <c r="A34" s="149" t="s">
        <v>121</v>
      </c>
      <c r="B34" s="149"/>
      <c r="C34" s="149"/>
      <c r="D34" s="149"/>
      <c r="E34" s="149"/>
    </row>
    <row r="35" spans="1:5" ht="13.9" customHeight="1">
      <c r="A35" s="150" t="s">
        <v>137</v>
      </c>
      <c r="B35" s="152"/>
      <c r="C35" s="120"/>
      <c r="D35" s="164"/>
      <c r="E35" s="136"/>
    </row>
    <row r="36" spans="1:5" ht="44.65" customHeight="1">
      <c r="A36" s="149" t="s">
        <v>160</v>
      </c>
      <c r="B36" s="149"/>
      <c r="C36" s="149"/>
      <c r="D36" s="149"/>
      <c r="E36" s="149"/>
    </row>
    <row r="37" spans="1:5" ht="13.15" customHeight="1">
      <c r="A37" s="149" t="s">
        <v>121</v>
      </c>
      <c r="B37" s="149"/>
      <c r="C37" s="149"/>
      <c r="D37" s="149"/>
      <c r="E37" s="149"/>
    </row>
    <row r="38" spans="1:5" ht="27" customHeight="1">
      <c r="A38" s="141" t="s">
        <v>138</v>
      </c>
      <c r="B38" s="142"/>
      <c r="C38" s="142"/>
      <c r="D38" s="164"/>
      <c r="E38" s="136"/>
    </row>
    <row r="39" spans="1:5" ht="96" customHeight="1">
      <c r="A39" s="153" t="s">
        <v>161</v>
      </c>
      <c r="B39" s="153"/>
      <c r="C39" s="153"/>
      <c r="D39" s="153"/>
      <c r="E39" s="153"/>
    </row>
    <row r="40" spans="1:5" ht="28.5" customHeight="1">
      <c r="A40" s="153" t="s">
        <v>139</v>
      </c>
      <c r="B40" s="153"/>
      <c r="C40" s="153"/>
      <c r="D40" s="153"/>
      <c r="E40" s="153"/>
    </row>
    <row r="41" spans="1:5" ht="13.9" customHeight="1">
      <c r="A41" s="141" t="s">
        <v>140</v>
      </c>
      <c r="B41" s="154"/>
      <c r="C41" s="142"/>
      <c r="D41" s="164"/>
      <c r="E41" s="136"/>
    </row>
    <row r="42" spans="1:5" ht="22.5" customHeight="1">
      <c r="A42" s="153" t="s">
        <v>141</v>
      </c>
      <c r="B42" s="153"/>
      <c r="C42" s="153"/>
      <c r="D42" s="153"/>
      <c r="E42" s="153"/>
    </row>
    <row r="43" spans="1:5" ht="26.25" customHeight="1">
      <c r="A43" s="153" t="s">
        <v>121</v>
      </c>
      <c r="B43" s="153"/>
      <c r="C43" s="153"/>
      <c r="D43" s="153"/>
      <c r="E43" s="153"/>
    </row>
    <row r="44" spans="1:5" ht="27" customHeight="1">
      <c r="A44" s="145" t="s">
        <v>142</v>
      </c>
      <c r="B44" s="146"/>
      <c r="C44" s="146"/>
      <c r="D44" s="146"/>
      <c r="E44" s="147"/>
    </row>
    <row r="45" spans="1:5" ht="51" customHeight="1">
      <c r="A45" s="153" t="s">
        <v>143</v>
      </c>
      <c r="B45" s="153"/>
      <c r="C45" s="153"/>
      <c r="D45" s="153"/>
      <c r="E45" s="153"/>
    </row>
    <row r="46" spans="1:5" ht="20.25" customHeight="1">
      <c r="A46" s="153" t="s">
        <v>144</v>
      </c>
      <c r="B46" s="153"/>
      <c r="C46" s="153"/>
      <c r="D46" s="153"/>
      <c r="E46" s="153"/>
    </row>
    <row r="47" spans="1:5" ht="24" customHeight="1">
      <c r="A47" s="141" t="s">
        <v>97</v>
      </c>
      <c r="B47" s="140">
        <f>B48+B50+B54+B59+B61+B62</f>
        <v>228022.6777540436</v>
      </c>
      <c r="C47" s="140"/>
      <c r="D47" s="131">
        <f>D48+D50+D59+D62</f>
        <v>8.7501795048982149</v>
      </c>
      <c r="E47" s="135">
        <f>D47*G3*12</f>
        <v>228064.6786156671</v>
      </c>
    </row>
    <row r="48" spans="1:5" ht="25.5" customHeight="1">
      <c r="A48" s="155" t="s">
        <v>145</v>
      </c>
      <c r="B48" s="156">
        <f>D48*12*2171.6</f>
        <v>44720.969309739921</v>
      </c>
      <c r="C48" s="140"/>
      <c r="D48" s="131">
        <f>'[1]уборка подъездов'!F44</f>
        <v>1.7161297856319426</v>
      </c>
      <c r="E48" s="166">
        <f>D48*G3*12</f>
        <v>44729.206732710954</v>
      </c>
    </row>
    <row r="49" spans="1:5" ht="12.75" customHeight="1">
      <c r="A49" s="153"/>
      <c r="B49" s="153"/>
      <c r="C49" s="153"/>
      <c r="D49" s="153"/>
      <c r="E49" s="136"/>
    </row>
    <row r="50" spans="1:5" ht="48" customHeight="1">
      <c r="A50" s="141" t="s">
        <v>146</v>
      </c>
      <c r="B50" s="141">
        <f>D50*12*2171.6</f>
        <v>44081.408546894745</v>
      </c>
      <c r="C50" s="141"/>
      <c r="D50" s="164">
        <f>'[1]уборка территории'!F112</f>
        <v>1.6915871763866406</v>
      </c>
      <c r="E50" s="166">
        <f>D50*G3*12</f>
        <v>44089.528165341399</v>
      </c>
    </row>
    <row r="51" spans="1:5" ht="16.5" customHeight="1">
      <c r="A51" s="141" t="s">
        <v>147</v>
      </c>
      <c r="B51" s="141"/>
      <c r="C51" s="140"/>
      <c r="D51" s="131"/>
      <c r="E51" s="166"/>
    </row>
    <row r="52" spans="1:5" ht="43.15" customHeight="1">
      <c r="A52" s="153" t="s">
        <v>148</v>
      </c>
      <c r="B52" s="153"/>
      <c r="C52" s="153"/>
      <c r="D52" s="153"/>
      <c r="E52" s="153"/>
    </row>
    <row r="53" spans="1:5" ht="13.5" customHeight="1">
      <c r="A53" s="153" t="s">
        <v>149</v>
      </c>
      <c r="B53" s="153"/>
      <c r="C53" s="153"/>
      <c r="D53" s="153"/>
      <c r="E53" s="153"/>
    </row>
    <row r="54" spans="1:5" ht="16.5" customHeight="1">
      <c r="A54" s="153" t="s">
        <v>150</v>
      </c>
      <c r="B54" s="153"/>
      <c r="C54" s="153"/>
      <c r="D54" s="153"/>
      <c r="E54" s="153"/>
    </row>
    <row r="55" spans="1:5" ht="12" customHeight="1">
      <c r="A55" s="153" t="s">
        <v>151</v>
      </c>
      <c r="B55" s="153"/>
      <c r="C55" s="153"/>
      <c r="D55" s="153"/>
      <c r="E55" s="153"/>
    </row>
    <row r="56" spans="1:5" ht="12" customHeight="1">
      <c r="A56" s="153" t="s">
        <v>152</v>
      </c>
      <c r="B56" s="153"/>
      <c r="C56" s="153"/>
      <c r="D56" s="153"/>
      <c r="E56" s="153"/>
    </row>
    <row r="57" spans="1:5" ht="12" customHeight="1">
      <c r="A57" s="153" t="s">
        <v>153</v>
      </c>
      <c r="B57" s="153"/>
      <c r="C57" s="153"/>
      <c r="D57" s="153"/>
      <c r="E57" s="153"/>
    </row>
    <row r="58" spans="1:5" ht="12" customHeight="1">
      <c r="A58" s="153" t="s">
        <v>154</v>
      </c>
      <c r="B58" s="153"/>
      <c r="C58" s="153"/>
      <c r="D58" s="153"/>
      <c r="E58" s="153"/>
    </row>
    <row r="59" spans="1:5" ht="29.45" customHeight="1">
      <c r="A59" s="155" t="s">
        <v>162</v>
      </c>
      <c r="B59" s="156">
        <f>D59*12*2171.6</f>
        <v>106691.3995183302</v>
      </c>
      <c r="C59" s="140"/>
      <c r="D59" s="131">
        <f>[1]ТБО!G9</f>
        <v>4.0941932031040942</v>
      </c>
      <c r="E59" s="166">
        <f>D59*G3*12</f>
        <v>106711.05164570511</v>
      </c>
    </row>
    <row r="60" spans="1:5" ht="12" customHeight="1">
      <c r="A60" s="157" t="s">
        <v>155</v>
      </c>
      <c r="B60" s="156"/>
      <c r="C60" s="158"/>
      <c r="D60" s="170"/>
      <c r="E60" s="136"/>
    </row>
    <row r="61" spans="1:5" ht="27.75" customHeight="1">
      <c r="A61" s="159" t="s">
        <v>156</v>
      </c>
      <c r="B61" s="159"/>
      <c r="C61" s="159"/>
      <c r="D61" s="159"/>
      <c r="E61" s="159"/>
    </row>
    <row r="62" spans="1:5" ht="38.25" customHeight="1">
      <c r="A62" s="155" t="s">
        <v>157</v>
      </c>
      <c r="B62" s="156">
        <f>D62*12*2171.6</f>
        <v>32528.900379078714</v>
      </c>
      <c r="C62" s="140"/>
      <c r="D62" s="131">
        <f>[2]ВСЕГО!$C$45</f>
        <v>1.2482693397755387</v>
      </c>
      <c r="E62" s="136">
        <f>D62*G3*12</f>
        <v>32534.892071909642</v>
      </c>
    </row>
    <row r="63" spans="1:5" ht="13.15" customHeight="1">
      <c r="A63" s="157" t="s">
        <v>158</v>
      </c>
      <c r="B63" s="157"/>
      <c r="C63" s="157"/>
      <c r="D63" s="167"/>
      <c r="E63" s="167"/>
    </row>
    <row r="64" spans="1:5" s="132" customFormat="1">
      <c r="A64" s="141" t="s">
        <v>102</v>
      </c>
      <c r="B64" s="142">
        <f>B4+B31+B47</f>
        <v>586560.23721438833</v>
      </c>
      <c r="C64" s="142"/>
      <c r="D64" s="164">
        <f>D4+D31+D47</f>
        <v>22.508758412168767</v>
      </c>
      <c r="E64" s="164">
        <f>D64*G3*12</f>
        <v>586668.27925476665</v>
      </c>
    </row>
    <row r="65" spans="1:6">
      <c r="A65" s="160" t="s">
        <v>103</v>
      </c>
      <c r="B65" s="142">
        <f>B64*0.1</f>
        <v>58656.023721438833</v>
      </c>
      <c r="C65" s="143"/>
      <c r="D65" s="171">
        <f>D64*0.1</f>
        <v>2.2508758412168768</v>
      </c>
      <c r="E65" s="166">
        <f>D65*G3*12</f>
        <v>58666.827925476675</v>
      </c>
      <c r="F65" s="144"/>
    </row>
    <row r="66" spans="1:6">
      <c r="A66" s="141" t="s">
        <v>104</v>
      </c>
      <c r="B66" s="142">
        <f>SUM(B64:B65)</f>
        <v>645216.26093582716</v>
      </c>
      <c r="C66" s="142"/>
      <c r="D66" s="164">
        <f>SUM(D64:D65)</f>
        <v>24.759634253385645</v>
      </c>
      <c r="E66" s="168">
        <f>E64+E65</f>
        <v>645335.10718024336</v>
      </c>
    </row>
  </sheetData>
  <mergeCells count="47">
    <mergeCell ref="A55:E55"/>
    <mergeCell ref="A56:E56"/>
    <mergeCell ref="A57:E57"/>
    <mergeCell ref="A58:E58"/>
    <mergeCell ref="A61:E61"/>
    <mergeCell ref="A45:E45"/>
    <mergeCell ref="A46:E46"/>
    <mergeCell ref="A49:D49"/>
    <mergeCell ref="A52:E52"/>
    <mergeCell ref="A53:E53"/>
    <mergeCell ref="A54:E54"/>
    <mergeCell ref="A37:E37"/>
    <mergeCell ref="A39:E39"/>
    <mergeCell ref="A40:E40"/>
    <mergeCell ref="A42:E42"/>
    <mergeCell ref="A43:E43"/>
    <mergeCell ref="A44:E44"/>
    <mergeCell ref="A28:E28"/>
    <mergeCell ref="A29:D29"/>
    <mergeCell ref="A30:E30"/>
    <mergeCell ref="A33:E33"/>
    <mergeCell ref="A34:E34"/>
    <mergeCell ref="A36:E36"/>
    <mergeCell ref="A22:E22"/>
    <mergeCell ref="A23:D23"/>
    <mergeCell ref="A24:E24"/>
    <mergeCell ref="A25:D25"/>
    <mergeCell ref="A26:E26"/>
    <mergeCell ref="A27:D27"/>
    <mergeCell ref="A16:E16"/>
    <mergeCell ref="A17:D17"/>
    <mergeCell ref="A18:E18"/>
    <mergeCell ref="A19:D19"/>
    <mergeCell ref="A20:E20"/>
    <mergeCell ref="A21:D21"/>
    <mergeCell ref="A10:D10"/>
    <mergeCell ref="A11:E11"/>
    <mergeCell ref="A12:D12"/>
    <mergeCell ref="A13:E13"/>
    <mergeCell ref="A14:D14"/>
    <mergeCell ref="A15:E15"/>
    <mergeCell ref="A1:E1"/>
    <mergeCell ref="A5:D5"/>
    <mergeCell ref="A6:E6"/>
    <mergeCell ref="A7:E7"/>
    <mergeCell ref="A8:D8"/>
    <mergeCell ref="A9:E9"/>
  </mergeCells>
  <phoneticPr fontId="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G27"/>
  <sheetViews>
    <sheetView workbookViewId="0">
      <selection activeCell="E26" sqref="E2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3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85497.216000000015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380.8*12*14.66</f>
        <v>66990.33600000001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380.8*4.05*12</f>
        <v>18506.88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380.8*12*0.003</f>
        <v>13.708800000000002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380.8*12*2.54</f>
        <v>11606.784000000001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380.8*12*2.11</f>
        <v>9641.8559999999998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380.8*12*2.6</f>
        <v>11880.960000000001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380.8*12*1.92</f>
        <v>8773.6319999999996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380.8*12*2.34</f>
        <v>10692.864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380.8*12*1.36</f>
        <v>6214.6560000000009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380.8*12*3.03</f>
        <v>13845.888000000001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380.8*12*0.07</f>
        <v>319.87200000000007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380.8*12*0.42</f>
        <v>1919.232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74909.452799999999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-7919.1167999999889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23" t="s">
        <v>75</v>
      </c>
      <c r="C25" s="12" t="s">
        <v>19</v>
      </c>
      <c r="D25" s="12"/>
      <c r="E25" s="11">
        <v>50000</v>
      </c>
    </row>
    <row r="26" spans="1:7">
      <c r="A26" s="4"/>
      <c r="B26" s="12" t="s">
        <v>25</v>
      </c>
      <c r="C26" s="12" t="s">
        <v>19</v>
      </c>
      <c r="D26" s="12"/>
      <c r="E26" s="11">
        <f>E25</f>
        <v>50000</v>
      </c>
    </row>
    <row r="27" spans="1:7">
      <c r="B27" s="5" t="s">
        <v>14</v>
      </c>
      <c r="C27" s="12" t="s">
        <v>19</v>
      </c>
      <c r="D27" s="12"/>
      <c r="E27" s="20">
        <f>E7-E26</f>
        <v>-31493.119999999999</v>
      </c>
    </row>
  </sheetData>
  <mergeCells count="3">
    <mergeCell ref="A2:E2"/>
    <mergeCell ref="B9:E9"/>
    <mergeCell ref="B23:E23"/>
  </mergeCells>
  <phoneticPr fontId="6" type="noConversion"/>
  <dataValidations count="1">
    <dataValidation type="list" allowBlank="1" showInputMessage="1" showErrorMessage="1" sqref="B5:E5">
      <formula1>Адреса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G27"/>
  <sheetViews>
    <sheetView workbookViewId="0">
      <selection activeCell="E27" sqref="E2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425781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94755.744000000021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375.3*12*16.39</f>
        <v>73814.004000000015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375.3*4.65*12</f>
        <v>20941.740000000002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375.3*12*0.003</f>
        <v>13.510800000000001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375.3*12*2.54</f>
        <v>11439.144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375.3*12*2.11</f>
        <v>9502.5959999999995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375.3*12*2.6</f>
        <v>11709.36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375.3*12*1.92</f>
        <v>8646.9120000000003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375.3*12*2.34</f>
        <v>10538.424000000001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375.3*12*1.36</f>
        <v>6124.8960000000006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375.3*12*3.03</f>
        <v>13645.907999999999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375.3*12*0.07</f>
        <v>315.25200000000007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375.3*12*0.42</f>
        <v>1891.5120000000002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73827.51479999999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-13.510799999974552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23" t="s">
        <v>75</v>
      </c>
      <c r="C25" s="12" t="s">
        <v>19</v>
      </c>
      <c r="D25" s="12"/>
      <c r="E25" s="11">
        <v>50000</v>
      </c>
    </row>
    <row r="26" spans="1:7">
      <c r="A26" s="4"/>
      <c r="B26" s="12" t="s">
        <v>25</v>
      </c>
      <c r="C26" s="12" t="s">
        <v>19</v>
      </c>
      <c r="D26" s="12"/>
      <c r="E26" s="11">
        <f>E25</f>
        <v>50000</v>
      </c>
    </row>
    <row r="27" spans="1:7">
      <c r="A27" s="4"/>
      <c r="B27" s="5" t="s">
        <v>14</v>
      </c>
      <c r="C27" s="12" t="s">
        <v>19</v>
      </c>
      <c r="D27" s="12"/>
      <c r="E27" s="20">
        <f>E7-E26</f>
        <v>-29058.26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G27"/>
  <sheetViews>
    <sheetView workbookViewId="0">
      <selection activeCell="E27" sqref="E2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71093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95386.944000000018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377.8*12*16.39</f>
        <v>74305.704000000012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377.8*4.65*12</f>
        <v>21081.24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377.8*12*0.003</f>
        <v>13.600800000000001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377.8*12*2.54</f>
        <v>11515.344000000001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377.8*12*2.11</f>
        <v>9565.8960000000006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377.8*12*2.6</f>
        <v>11787.36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377.8*12*1.92</f>
        <v>8704.5120000000006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377.8*12*2.34</f>
        <v>10608.624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377.8*12*1.34</f>
        <v>6075.0240000000013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377.8*12*3.03</f>
        <v>13736.808000000001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377.8*12*0.07</f>
        <v>317.35200000000003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377.8*12*0.42</f>
        <v>1904.1120000000001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74228.632800000007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77.071200000005774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23" t="s">
        <v>75</v>
      </c>
      <c r="C25" s="12" t="s">
        <v>19</v>
      </c>
      <c r="D25" s="12"/>
      <c r="E25" s="11">
        <v>50000</v>
      </c>
    </row>
    <row r="26" spans="1:7">
      <c r="A26" s="4"/>
      <c r="B26" s="12" t="s">
        <v>25</v>
      </c>
      <c r="C26" s="12" t="s">
        <v>19</v>
      </c>
      <c r="D26" s="12"/>
      <c r="E26" s="11">
        <f>E25</f>
        <v>50000</v>
      </c>
    </row>
    <row r="27" spans="1:7">
      <c r="A27" s="4"/>
      <c r="B27" s="5" t="s">
        <v>14</v>
      </c>
      <c r="C27" s="12" t="s">
        <v>19</v>
      </c>
      <c r="D27" s="12"/>
      <c r="E27" s="20">
        <f>E7-E26</f>
        <v>-28918.76</v>
      </c>
    </row>
  </sheetData>
  <mergeCells count="3">
    <mergeCell ref="B23:E23"/>
    <mergeCell ref="A2:E2"/>
    <mergeCell ref="B9:E9"/>
  </mergeCells>
  <phoneticPr fontId="6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G27"/>
  <sheetViews>
    <sheetView workbookViewId="0">
      <selection activeCell="H26" sqref="H2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3.57031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212865.88800000004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843.1*12*16.39</f>
        <v>165820.90800000002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843.1*4.65*12</f>
        <v>47044.98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843.1*12*0.003</f>
        <v>30.351600000000001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843.1*12*2.54</f>
        <v>25697.688000000002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843.1*12*2.11</f>
        <v>21347.292000000001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843.1*12*2.6</f>
        <v>26304.720000000001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843.1*12*1.92</f>
        <v>19425.024000000001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843.1*12*2.34</f>
        <v>23674.248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843.1*12*1.36</f>
        <v>13759.392000000002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843.1*12*3.03</f>
        <v>30655.116000000002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843.1*12*0.07</f>
        <v>708.20400000000006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843.1*12*0.42</f>
        <v>4249.2240000000002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165851.25960000002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-30.351599999994505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3"/>
      <c r="D24" s="3"/>
      <c r="E24" s="10"/>
    </row>
    <row r="25" spans="1:7">
      <c r="A25" s="4"/>
      <c r="B25" s="22" t="s">
        <v>75</v>
      </c>
      <c r="C25" s="12" t="s">
        <v>19</v>
      </c>
      <c r="D25" s="12"/>
      <c r="E25" s="21">
        <v>50000</v>
      </c>
    </row>
    <row r="26" spans="1:7">
      <c r="A26" s="4"/>
      <c r="B26" s="12" t="s">
        <v>25</v>
      </c>
      <c r="C26" s="12" t="s">
        <v>19</v>
      </c>
      <c r="D26" s="12"/>
      <c r="E26" s="11">
        <f>E25</f>
        <v>50000</v>
      </c>
    </row>
    <row r="27" spans="1:7">
      <c r="A27" s="4"/>
      <c r="B27" s="5" t="s">
        <v>14</v>
      </c>
      <c r="C27" s="12" t="s">
        <v>19</v>
      </c>
      <c r="D27" s="12"/>
      <c r="E27" s="20">
        <f>E7-E26</f>
        <v>-2955.0199999999968</v>
      </c>
    </row>
  </sheetData>
  <mergeCells count="3">
    <mergeCell ref="A2:E2"/>
    <mergeCell ref="B23:E23"/>
    <mergeCell ref="B9:E9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G25"/>
  <sheetViews>
    <sheetView workbookViewId="0">
      <selection activeCell="E8" sqref="E8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158327.4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805*12*16.39</f>
        <v>158327.4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-E24</f>
        <v>0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805*12*0.03</f>
        <v>289.8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805*12*2.54</f>
        <v>24536.400000000001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805*12*2.11</f>
        <v>20382.599999999999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805*12*2.6</f>
        <v>25116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805*12*1.92</f>
        <v>18547.2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805*12*2.34</f>
        <v>22604.399999999998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805*12*1.36</f>
        <v>13137.6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805*12*3.03</f>
        <v>29269.8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805*12*0.07</f>
        <v>676.2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805*12*0.42</f>
        <v>4057.2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158617.19999999998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-289.79999999998836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>
        <v>0</v>
      </c>
    </row>
    <row r="25" spans="1:7">
      <c r="A25" s="24"/>
      <c r="B25" s="5" t="s">
        <v>14</v>
      </c>
      <c r="C25" s="12" t="s">
        <v>19</v>
      </c>
      <c r="D25" s="12"/>
      <c r="E25" s="20" t="e">
        <f>E7-#REF!</f>
        <v>#REF!</v>
      </c>
    </row>
  </sheetData>
  <mergeCells count="3">
    <mergeCell ref="B23:E23"/>
    <mergeCell ref="A2:E2"/>
    <mergeCell ref="B9:E9"/>
  </mergeCells>
  <phoneticPr fontId="6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27"/>
  <sheetViews>
    <sheetView workbookViewId="0">
      <selection activeCell="B25" sqref="B25:E25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6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218243.712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864.4*12*16.39</f>
        <v>170010.19199999998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864.4*4.65*12</f>
        <v>48233.520000000004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864.4*12*0.003</f>
        <v>31.118399999999998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864.4*12*2.54</f>
        <v>26346.912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864.4*12*2.11</f>
        <v>21886.607999999997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864.4*12*2.6</f>
        <v>26969.279999999999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864.4*12*1.92</f>
        <v>19915.775999999998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864.4*12*2.34</f>
        <v>24272.351999999995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864.4*12*1.36</f>
        <v>14107.008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864.4*12*3.03</f>
        <v>31429.583999999995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864.4*12*0.07</f>
        <v>726.096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864.4*12*0.42</f>
        <v>4356.5759999999991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170041.31040000002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-31.118400000035763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22" t="s">
        <v>75</v>
      </c>
      <c r="C25" s="12" t="s">
        <v>19</v>
      </c>
      <c r="D25" s="12"/>
      <c r="E25" s="21">
        <v>50000</v>
      </c>
    </row>
    <row r="26" spans="1:7">
      <c r="B26" s="12" t="s">
        <v>25</v>
      </c>
      <c r="C26" s="12" t="s">
        <v>19</v>
      </c>
      <c r="D26" s="12"/>
      <c r="E26" s="11">
        <f>E25</f>
        <v>50000</v>
      </c>
    </row>
    <row r="27" spans="1:7">
      <c r="B27" s="5" t="s">
        <v>14</v>
      </c>
      <c r="C27" s="12" t="s">
        <v>19</v>
      </c>
      <c r="D27" s="12"/>
      <c r="E27" s="20">
        <f>E7-E26</f>
        <v>-1766.4799999999959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G27"/>
  <sheetViews>
    <sheetView topLeftCell="A4" workbookViewId="0">
      <selection activeCell="B25" sqref="B25:E25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28515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210416.83199999999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833.4*12*16.39</f>
        <v>163913.11199999999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833.4*4.65*12</f>
        <v>46503.72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833.4*12*0.003</f>
        <v>30.002399999999998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833.4*12*2.54</f>
        <v>25402.031999999999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833.4*12*2.11</f>
        <v>21101.687999999998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833.4*12*2.6</f>
        <v>26002.079999999998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833.4*12*1.92</f>
        <v>19201.535999999996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833.4*12*2.34</f>
        <v>23401.871999999996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833.4*12*1.36</f>
        <v>13601.088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833.4*12*3.03</f>
        <v>30302.423999999995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833.4*12*0.07</f>
        <v>700.05600000000004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833.4*12*0.42</f>
        <v>4200.3359999999993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163943.11439999999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-30.002399999997579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22" t="s">
        <v>75</v>
      </c>
      <c r="C25" s="12" t="s">
        <v>19</v>
      </c>
      <c r="D25" s="12"/>
      <c r="E25" s="21">
        <v>50000</v>
      </c>
    </row>
    <row r="26" spans="1:7">
      <c r="B26" s="12" t="s">
        <v>25</v>
      </c>
      <c r="C26" s="12" t="s">
        <v>19</v>
      </c>
      <c r="D26" s="12"/>
      <c r="E26" s="11">
        <f>E25</f>
        <v>50000</v>
      </c>
    </row>
    <row r="27" spans="1:7">
      <c r="B27" s="5" t="s">
        <v>14</v>
      </c>
      <c r="C27" s="12" t="s">
        <v>19</v>
      </c>
      <c r="D27" s="12"/>
      <c r="E27" s="20">
        <f>E7-E26</f>
        <v>-3496.2799999999988</v>
      </c>
    </row>
  </sheetData>
  <mergeCells count="3">
    <mergeCell ref="B23:E23"/>
    <mergeCell ref="A2:E2"/>
    <mergeCell ref="B9:E9"/>
  </mergeCells>
  <phoneticPr fontId="6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G27"/>
  <sheetViews>
    <sheetView workbookViewId="0">
      <selection activeCell="I26" sqref="I2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855468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212689.152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842.4*12*16.39</f>
        <v>165683.23199999999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842.4*4.65*12</f>
        <v>47005.920000000006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842.4*12*0.003</f>
        <v>30.3264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842.4*12*2.54</f>
        <v>25676.351999999999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842.4*12*2.11</f>
        <v>21329.567999999996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842.4*12*2.6</f>
        <v>26282.879999999997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842.4*12*1.92</f>
        <v>19408.895999999997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842.4*12*2.34</f>
        <v>23654.591999999997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842.4*12*1.36</f>
        <v>13747.968000000001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842.4*12*3.03</f>
        <v>30629.663999999997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842.4*12*0.07</f>
        <v>707.61599999999999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842.4*12*0.42</f>
        <v>4245.6959999999999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165713.55839999995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-30.326399999961723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/>
      <c r="D24" s="12"/>
      <c r="E24" s="10"/>
    </row>
    <row r="25" spans="1:7">
      <c r="A25" s="4"/>
      <c r="B25" s="22" t="s">
        <v>75</v>
      </c>
      <c r="C25" s="12" t="s">
        <v>19</v>
      </c>
      <c r="D25" s="12"/>
      <c r="E25" s="21">
        <v>50000</v>
      </c>
    </row>
    <row r="26" spans="1:7">
      <c r="B26" s="12" t="s">
        <v>25</v>
      </c>
      <c r="C26" s="12" t="s">
        <v>19</v>
      </c>
      <c r="D26" s="12"/>
      <c r="E26" s="11">
        <f>E25</f>
        <v>50000</v>
      </c>
    </row>
    <row r="27" spans="1:7">
      <c r="B27" s="5" t="s">
        <v>14</v>
      </c>
      <c r="C27" s="12" t="s">
        <v>19</v>
      </c>
      <c r="D27" s="12"/>
      <c r="E27" s="20">
        <f>E7-E26</f>
        <v>-2994.0799999999945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26" sqref="E2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3.28515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213901.05600000004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847.2*12*16.39</f>
        <v>166627.29600000003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847.2*4.65*12</f>
        <v>47273.760000000009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847.2*12*0.003</f>
        <v>30.499200000000005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847.2*12*2.54</f>
        <v>25822.656000000003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847.2*12*2.11</f>
        <v>21451.104000000003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847.2*12*2.6</f>
        <v>26432.640000000003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847.2*12*1.92</f>
        <v>19519.488000000001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847.2*12*2.34</f>
        <v>23789.376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847.2*12*1.36</f>
        <v>13826.304000000004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847.2*12*3.03</f>
        <v>30804.192000000003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847.2*12*0.07</f>
        <v>711.64800000000014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847.2*12*0.42</f>
        <v>4269.8880000000008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166657.79520000002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-30.499199999991106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/>
      <c r="D24" s="12"/>
      <c r="E24" s="10"/>
    </row>
    <row r="25" spans="1:7"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47273.760000000009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H27" sqref="H2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28515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215163.45600000003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852.2*12*16.39</f>
        <v>167610.69600000003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852.2*4.65*12</f>
        <v>47552.760000000009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852.2*12*0.003</f>
        <v>30.679200000000005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852.2*12*2.54</f>
        <v>25975.056000000004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852.2*12*2.11</f>
        <v>21577.704000000002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852.2*12*2.6</f>
        <v>26588.640000000003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852.2*12*1.92</f>
        <v>19634.688000000002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852.2*12*2.34</f>
        <v>23929.776000000002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852.2*12*1.36</f>
        <v>13907.904000000002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852.2*12*3.03</f>
        <v>30985.992000000002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852.2*12*0.07</f>
        <v>715.84800000000018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852.2*12*0.42</f>
        <v>4295.0880000000006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167641.37520000004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-30.679200000013225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/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A26" s="4"/>
      <c r="B26" s="5" t="s">
        <v>14</v>
      </c>
      <c r="C26" s="12" t="s">
        <v>19</v>
      </c>
      <c r="D26" s="12"/>
      <c r="E26" s="20">
        <f>E7-E25</f>
        <v>47552.760000000009</v>
      </c>
    </row>
  </sheetData>
  <mergeCells count="3">
    <mergeCell ref="B23:E23"/>
    <mergeCell ref="A2:E2"/>
    <mergeCell ref="B9:E9"/>
  </mergeCells>
  <phoneticPr fontId="6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K28" sqref="K28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7.425781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217713.50399999999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862.3*12*16.39</f>
        <v>169597.16399999999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862.3*4.65*12</f>
        <v>48116.340000000004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862.3*12*0.003</f>
        <v>31.042799999999996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862.3*12*2.54</f>
        <v>26282.903999999995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862.3*12*2.11</f>
        <v>21833.435999999994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862.3*12*2.6</f>
        <v>26903.759999999998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862.3*12*1.92</f>
        <v>19867.391999999996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862.3*12*2.34</f>
        <v>24213.383999999995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862.3*12*1.36</f>
        <v>14072.735999999999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862.3*12*3.03</f>
        <v>31353.227999999992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862.3*12*0.07</f>
        <v>724.33199999999999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862.3*12*0.42</f>
        <v>4345.9919999999993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169628.20679999993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-31.042799999937415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/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48116.340000000004</v>
      </c>
    </row>
  </sheetData>
  <mergeCells count="3">
    <mergeCell ref="A2:E2"/>
    <mergeCell ref="B9:E9"/>
    <mergeCell ref="B23:E23"/>
  </mergeCells>
  <phoneticPr fontId="6" type="noConversion"/>
  <dataValidations count="1">
    <dataValidation type="list" allowBlank="1" showInputMessage="1" showErrorMessage="1" sqref="B5:E5">
      <formula1>Адреса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G27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28515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215870.4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855*12*16.39</f>
        <v>168161.4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855*4.65*12</f>
        <v>47709.000000000007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855*12*0.003</f>
        <v>30.78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855*12*2.54</f>
        <v>26060.400000000001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855*12*2.11</f>
        <v>21648.6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855*12*2.6</f>
        <v>26676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855*12*1.92</f>
        <v>19699.2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855*12*2.34</f>
        <v>24008.399999999998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855*12*1.36</f>
        <v>13953.6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855*12*3.03</f>
        <v>31087.8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855*12*0.07</f>
        <v>718.2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855*12*0.42</f>
        <v>4309.2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168192.18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-30.779999999998836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22" t="s">
        <v>75</v>
      </c>
      <c r="C25" s="12" t="s">
        <v>19</v>
      </c>
      <c r="D25" s="12"/>
      <c r="E25" s="21">
        <v>50000</v>
      </c>
    </row>
    <row r="26" spans="1:7">
      <c r="A26" s="4"/>
      <c r="B26" s="12" t="s">
        <v>25</v>
      </c>
      <c r="C26" s="12" t="s">
        <v>19</v>
      </c>
      <c r="D26" s="12"/>
      <c r="E26" s="11">
        <f>E25</f>
        <v>50000</v>
      </c>
    </row>
    <row r="27" spans="1:7">
      <c r="A27" s="4"/>
      <c r="B27" s="5" t="s">
        <v>14</v>
      </c>
      <c r="C27" s="12" t="s">
        <v>19</v>
      </c>
      <c r="D27" s="12"/>
      <c r="E27" s="20">
        <f>E7-E26</f>
        <v>-2290.9999999999927</v>
      </c>
    </row>
  </sheetData>
  <mergeCells count="3">
    <mergeCell ref="B23:E23"/>
    <mergeCell ref="A2:E2"/>
    <mergeCell ref="B9:E9"/>
  </mergeCells>
  <phoneticPr fontId="6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G27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71093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220294.9584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872.4*12*16.393</f>
        <v>171615.03839999999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872.4*4.65*12</f>
        <v>48679.920000000006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872.4*12*0.003</f>
        <v>31.406399999999998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872.4*12*2.54</f>
        <v>26590.751999999997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872.4*12*2.11</f>
        <v>22089.167999999998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872.4*12*2.6</f>
        <v>27218.879999999997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872.4*12*1.92</f>
        <v>20100.095999999998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872.4*12*2.34</f>
        <v>24496.991999999998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872.4*12*1.36</f>
        <v>14237.567999999999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872.4*12*3.03</f>
        <v>31720.463999999996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872.4*12*0.07</f>
        <v>732.81600000000003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872.4*12*0.42</f>
        <v>4396.8959999999997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171615.03840000002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23" t="s">
        <v>75</v>
      </c>
      <c r="C25" s="12" t="s">
        <v>19</v>
      </c>
      <c r="D25" s="12"/>
      <c r="E25" s="11">
        <v>50000</v>
      </c>
    </row>
    <row r="26" spans="1:7">
      <c r="B26" s="12" t="s">
        <v>25</v>
      </c>
      <c r="C26" s="12" t="s">
        <v>19</v>
      </c>
      <c r="D26" s="12"/>
      <c r="E26" s="11">
        <f>E25</f>
        <v>50000</v>
      </c>
    </row>
    <row r="27" spans="1:7">
      <c r="B27" s="5" t="s">
        <v>14</v>
      </c>
      <c r="C27" s="12" t="s">
        <v>19</v>
      </c>
      <c r="D27" s="12"/>
      <c r="E27" s="20">
        <f>E7-E26</f>
        <v>-1320.0799999999945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G27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18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217643.5404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861.9*12*16.393</f>
        <v>169549.52040000001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861.9*4.65*12</f>
        <v>48094.020000000004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861.9*12*0.003</f>
        <v>31.028399999999998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861.9*12*2.54</f>
        <v>26270.712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861.9*12*2.11</f>
        <v>21823.307999999997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861.9*12*2.6</f>
        <v>26891.279999999999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861.9*12*1.92</f>
        <v>19858.175999999999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861.9*12*2.34</f>
        <v>24202.151999999998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861.9*12*1.36</f>
        <v>14066.208000000001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861.9*12*3.03</f>
        <v>31338.683999999997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861.9*12*0.07</f>
        <v>723.99599999999998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861.9*12*0.42</f>
        <v>4343.9759999999997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169549.52039999998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23" t="s">
        <v>75</v>
      </c>
      <c r="C25" s="12" t="s">
        <v>19</v>
      </c>
      <c r="D25" s="12"/>
      <c r="E25" s="11">
        <v>50000</v>
      </c>
    </row>
    <row r="26" spans="1:7">
      <c r="A26" s="4"/>
      <c r="B26" s="12" t="s">
        <v>25</v>
      </c>
      <c r="C26" s="12" t="s">
        <v>19</v>
      </c>
      <c r="D26" s="12"/>
      <c r="E26" s="11">
        <f>E25</f>
        <v>50000</v>
      </c>
    </row>
    <row r="27" spans="1:7">
      <c r="A27" s="4"/>
      <c r="B27" s="5" t="s">
        <v>14</v>
      </c>
      <c r="C27" s="12" t="s">
        <v>19</v>
      </c>
      <c r="D27" s="12"/>
      <c r="E27" s="20">
        <f>E7-E26</f>
        <v>-1905.9799999999959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G27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6.140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216759.73439999999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858.4*12*16.393</f>
        <v>168861.01439999999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858.4*4.65*12</f>
        <v>47898.720000000001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858.4*12*0.003</f>
        <v>30.9024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858.4*12*2.54</f>
        <v>26164.031999999999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858.4*12*2.11</f>
        <v>21734.687999999998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858.4*12*2.6</f>
        <v>26782.079999999998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858.4*12*1.92</f>
        <v>19777.535999999996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858.4*12*2.34</f>
        <v>24103.871999999996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858.4*12*1.36</f>
        <v>14009.088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858.4*12*3.03</f>
        <v>31211.423999999995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858.4*12*0.07</f>
        <v>721.05600000000004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858.4*12*0.42</f>
        <v>4326.3359999999993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168861.01439999999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23" t="s">
        <v>75</v>
      </c>
      <c r="C25" s="12" t="s">
        <v>19</v>
      </c>
      <c r="D25" s="12"/>
      <c r="E25" s="11">
        <v>50000</v>
      </c>
    </row>
    <row r="26" spans="1:7">
      <c r="A26" s="4"/>
      <c r="B26" s="12" t="s">
        <v>25</v>
      </c>
      <c r="C26" s="12" t="s">
        <v>19</v>
      </c>
      <c r="D26" s="12"/>
      <c r="E26" s="11">
        <f>E25</f>
        <v>50000</v>
      </c>
    </row>
    <row r="27" spans="1:7">
      <c r="A27" s="4"/>
      <c r="B27" s="5" t="s">
        <v>14</v>
      </c>
      <c r="C27" s="12" t="s">
        <v>19</v>
      </c>
      <c r="D27" s="12"/>
      <c r="E27" s="20">
        <f>E7-E26</f>
        <v>-2101.2799999999988</v>
      </c>
    </row>
  </sheetData>
  <mergeCells count="3">
    <mergeCell ref="A2:E2"/>
    <mergeCell ref="B23:E23"/>
    <mergeCell ref="B9:E9"/>
  </mergeCells>
  <phoneticPr fontId="6" type="noConversion"/>
  <dataValidations count="1">
    <dataValidation type="list" allowBlank="1" showInputMessage="1" showErrorMessage="1" sqref="B3:E3">
      <formula1>Адреса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25"/>
  <sheetViews>
    <sheetView workbookViewId="0">
      <selection activeCell="E26" sqref="E2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855468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279949.82399999996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1108.8*12*16.39</f>
        <v>218078.78399999999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1108.8*4.65*12</f>
        <v>61871.040000000001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1108.8*12*0.003</f>
        <v>39.916799999999995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1108.8*12*2.54</f>
        <v>33796.223999999995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1108.8*12*2.11</f>
        <v>28074.815999999995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1108.8*12*2.6</f>
        <v>34594.559999999998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1108.8*12*1.92</f>
        <v>25546.751999999997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1108.8*12*2.34</f>
        <v>31135.103999999996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1108.8*12*1.36</f>
        <v>18095.615999999998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1108.8*12*3.03</f>
        <v>40315.967999999993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1108.8*12*0.07</f>
        <v>931.39199999999994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1108.8*12*0.42</f>
        <v>5588.351999999999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218118.70079999996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-39.916799999977229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/>
      <c r="D24" s="12"/>
      <c r="E24" s="10">
        <v>0</v>
      </c>
    </row>
    <row r="25" spans="1:7">
      <c r="A25" s="4"/>
      <c r="B25" s="5" t="s">
        <v>14</v>
      </c>
      <c r="C25" s="12" t="s">
        <v>19</v>
      </c>
      <c r="D25" s="12"/>
      <c r="E25" s="10">
        <f>E7-E24</f>
        <v>61871.040000000001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2.855468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214537.59360000002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849.6*12*16.393</f>
        <v>167129.91360000003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849.6*4.65*12</f>
        <v>47407.680000000008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849.6*12*0.003</f>
        <v>30.585600000000003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849.6*12*2.54</f>
        <v>25895.808000000001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849.6*12*2.11</f>
        <v>21511.871999999999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849.6*12*2.6</f>
        <v>26507.520000000004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849.6*12*1.92</f>
        <v>19574.784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849.6*12*2.34</f>
        <v>23856.768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849.6*12*1.36</f>
        <v>13865.472000000002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849.6*12*3.03</f>
        <v>30891.456000000002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849.6*12*0.07</f>
        <v>713.6640000000001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849.6*12*0.42</f>
        <v>4281.9840000000004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167129.91359999997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47407.680000000008</v>
      </c>
    </row>
  </sheetData>
  <mergeCells count="3">
    <mergeCell ref="A2:E2"/>
    <mergeCell ref="B9:E9"/>
    <mergeCell ref="B23:E23"/>
  </mergeCells>
  <phoneticPr fontId="6" type="noConversion"/>
  <dataValidations count="1">
    <dataValidation type="list" allowBlank="1" showInputMessage="1" showErrorMessage="1" sqref="B5:E5">
      <formula1>Адреса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2.71093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215219.38679999998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852.3*12*16.393</f>
        <v>167661.04679999998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852.3*4.65*12</f>
        <v>47558.340000000004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852.3*12*0.003</f>
        <v>30.682799999999997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852.3*12*2.54</f>
        <v>25978.103999999996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852.3*12*2.11</f>
        <v>21580.235999999997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852.3*12*2.6</f>
        <v>26591.759999999998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852.3*12*1.92</f>
        <v>19636.991999999995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852.3*12*2.34</f>
        <v>23932.583999999995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852.3*12*1.36</f>
        <v>13909.535999999998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852.3*12*3.03</f>
        <v>30989.627999999993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852.3*12*0.07</f>
        <v>715.93200000000002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852.3*12*0.42</f>
        <v>4295.5919999999996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167661.04679999998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47558.340000000004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2.71093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210472.08600000001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833.5*12*16.393</f>
        <v>163962.78599999999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833.5*4.65*12</f>
        <v>46509.3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833.5*12*0.003</f>
        <v>30.006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833.5*12*2.54</f>
        <v>25405.08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833.5*12*2.11</f>
        <v>21104.219999999998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833.5*12*2.6</f>
        <v>26005.200000000001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833.5*12*1.92</f>
        <v>19203.84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833.5*12*2.34</f>
        <v>23404.68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833.5*12*1.36</f>
        <v>13602.720000000001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833.5*12*3.03</f>
        <v>30306.059999999998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833.5*12*0.07</f>
        <v>700.1400000000001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833.5*12*0.42</f>
        <v>4200.84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163962.78599999996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46509.3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268291.8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835.8*12*20.67</f>
        <v>207311.83199999999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835.8*6.08*12</f>
        <v>60979.967999999993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835.8*12*2.38</f>
        <v>23870.447999999997</v>
      </c>
      <c r="G10" s="17">
        <v>12.62</v>
      </c>
    </row>
    <row r="11" spans="1:7">
      <c r="A11" s="4"/>
      <c r="B11" s="7" t="s">
        <v>20</v>
      </c>
      <c r="C11" s="12" t="s">
        <v>19</v>
      </c>
      <c r="D11" s="12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835.8*12*4.82</f>
        <v>48342.671999999999</v>
      </c>
      <c r="G12" s="17">
        <v>15.55</v>
      </c>
    </row>
    <row r="13" spans="1:7">
      <c r="A13" s="4"/>
      <c r="B13" s="7" t="s">
        <v>10</v>
      </c>
      <c r="C13" s="12" t="s">
        <v>19</v>
      </c>
      <c r="D13" s="12" t="s">
        <v>32</v>
      </c>
      <c r="E13" s="19">
        <f>835.8*12*2.29</f>
        <v>22967.783999999996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835.8*12*3.4</f>
        <v>34100.639999999992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835.8*12*2.61</f>
        <v>26177.255999999994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29" t="s">
        <v>32</v>
      </c>
      <c r="E16" s="31">
        <f>835.8*12*4.64</f>
        <v>46537.34399999999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835.8*12*0.1</f>
        <v>1002.9599999999999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835.8*12*0.43</f>
        <v>4312.7279999999992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207311.83199999997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60979.967999999993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D7" sqref="D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274069.8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853.8*12*20.67</f>
        <v>211776.552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853.8*6.08*12</f>
        <v>62293.247999999992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853.8*12*2.38</f>
        <v>24384.527999999995</v>
      </c>
      <c r="G10" s="17">
        <v>12.62</v>
      </c>
    </row>
    <row r="11" spans="1:7">
      <c r="A11" s="4"/>
      <c r="B11" s="7" t="s">
        <v>20</v>
      </c>
      <c r="C11" s="12" t="s">
        <v>19</v>
      </c>
      <c r="D11" s="12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853.8*12*4.82</f>
        <v>49383.791999999994</v>
      </c>
      <c r="G12" s="17">
        <v>15.55</v>
      </c>
    </row>
    <row r="13" spans="1:7">
      <c r="A13" s="4"/>
      <c r="B13" s="7" t="s">
        <v>10</v>
      </c>
      <c r="C13" s="12" t="s">
        <v>19</v>
      </c>
      <c r="D13" s="12" t="s">
        <v>32</v>
      </c>
      <c r="E13" s="19">
        <f>853.8*12*2.29</f>
        <v>23462.423999999995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853.8*12*3.4</f>
        <v>34835.039999999994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853.8*12*2.61</f>
        <v>26741.015999999996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29" t="s">
        <v>32</v>
      </c>
      <c r="E16" s="31">
        <f>853.8*12*4.64</f>
        <v>47539.583999999988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853.8*12*0.1</f>
        <v>1024.56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853.8*12*0.43</f>
        <v>4405.6079999999993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211776.55199999994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62293.247999999992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3.140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268901.70000000007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837.7*12*20.67</f>
        <v>207783.10800000004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837.7*6.08*12</f>
        <v>61118.592000000004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837.7*12*2.38</f>
        <v>23924.712000000003</v>
      </c>
      <c r="G10" s="17">
        <v>12.62</v>
      </c>
    </row>
    <row r="11" spans="1:7">
      <c r="A11" s="4"/>
      <c r="B11" s="7" t="s">
        <v>20</v>
      </c>
      <c r="C11" s="12" t="s">
        <v>19</v>
      </c>
      <c r="D11" s="12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837.7*12*4.82</f>
        <v>48452.568000000007</v>
      </c>
      <c r="G12" s="17">
        <v>15.55</v>
      </c>
    </row>
    <row r="13" spans="1:7">
      <c r="A13" s="4"/>
      <c r="B13" s="7" t="s">
        <v>10</v>
      </c>
      <c r="C13" s="12" t="s">
        <v>19</v>
      </c>
      <c r="D13" s="12" t="s">
        <v>32</v>
      </c>
      <c r="E13" s="19">
        <f>837.7*12*2.29</f>
        <v>23019.996000000003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837.7*12*3.4</f>
        <v>34178.160000000003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837.7*12*2.61</f>
        <v>26236.764000000003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29" t="s">
        <v>32</v>
      </c>
      <c r="E16" s="31">
        <f>837.7*12*4.64</f>
        <v>46643.136000000006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837.7*12*0.1</f>
        <v>1005.2400000000002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837.7*12*0.43</f>
        <v>4322.5320000000002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207783.10800000004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61118.592000000004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855468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264632.40000000002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824.4*12*20.67</f>
        <v>204484.17600000001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824.4*6.08*12</f>
        <v>60148.224000000002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824.4*12*2.38</f>
        <v>23544.863999999998</v>
      </c>
      <c r="G10" s="17">
        <v>12.62</v>
      </c>
    </row>
    <row r="11" spans="1:7">
      <c r="A11" s="4"/>
      <c r="B11" s="7" t="s">
        <v>20</v>
      </c>
      <c r="C11" s="12" t="s">
        <v>19</v>
      </c>
      <c r="D11" s="12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824.4*12*4.82</f>
        <v>47683.296000000002</v>
      </c>
      <c r="G12" s="17">
        <v>15.55</v>
      </c>
    </row>
    <row r="13" spans="1:7">
      <c r="A13" s="4"/>
      <c r="B13" s="7" t="s">
        <v>10</v>
      </c>
      <c r="C13" s="12" t="s">
        <v>19</v>
      </c>
      <c r="D13" s="12" t="s">
        <v>32</v>
      </c>
      <c r="E13" s="19">
        <f>824.4*12*2.29</f>
        <v>22654.511999999999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824.4*12*3.4</f>
        <v>33635.519999999997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824.4*12*2.61</f>
        <v>25820.207999999995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29" t="s">
        <v>32</v>
      </c>
      <c r="E16" s="31">
        <f>824.4*12*4.64</f>
        <v>45902.591999999997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824.4*12*0.1</f>
        <v>989.28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824.4*12*0.43</f>
        <v>4253.9039999999995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204484.17599999998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60148.224000000002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D6" sqref="D6:D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3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268291.8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835.8*12*20.67</f>
        <v>207311.83199999999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835.8*6.08*12</f>
        <v>60979.967999999993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835.8*12*2.38</f>
        <v>23870.447999999997</v>
      </c>
      <c r="G10" s="17">
        <v>12.62</v>
      </c>
    </row>
    <row r="11" spans="1:7">
      <c r="A11" s="4"/>
      <c r="B11" s="7" t="s">
        <v>20</v>
      </c>
      <c r="C11" s="12" t="s">
        <v>19</v>
      </c>
      <c r="D11" s="12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835.8*12*4.82</f>
        <v>48342.671999999999</v>
      </c>
      <c r="G12" s="17">
        <v>15.55</v>
      </c>
    </row>
    <row r="13" spans="1:7">
      <c r="A13" s="4"/>
      <c r="B13" s="7" t="s">
        <v>10</v>
      </c>
      <c r="C13" s="12" t="s">
        <v>19</v>
      </c>
      <c r="D13" s="12" t="s">
        <v>32</v>
      </c>
      <c r="E13" s="19">
        <f>835.8*12*2.29</f>
        <v>22967.783999999996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835.8*12*3.4</f>
        <v>34100.639999999992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835.8*12*2.61</f>
        <v>26177.255999999994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29" t="s">
        <v>32</v>
      </c>
      <c r="E16" s="31">
        <f>835.8*12*4.64</f>
        <v>46537.34399999999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835.8*12*0.1</f>
        <v>1002.9599999999999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835.8*12*0.43</f>
        <v>4312.7279999999992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207311.83199999997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60979.967999999993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D6" sqref="D6:D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274069.8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853.8*12*20.67</f>
        <v>211776.552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853.8*6.08*12</f>
        <v>62293.247999999992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853.8*12*2.38</f>
        <v>24384.527999999995</v>
      </c>
      <c r="G10" s="17">
        <v>12.62</v>
      </c>
    </row>
    <row r="11" spans="1:7">
      <c r="A11" s="4"/>
      <c r="B11" s="7" t="s">
        <v>20</v>
      </c>
      <c r="C11" s="12" t="s">
        <v>19</v>
      </c>
      <c r="D11" s="12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853.8*12*4.82</f>
        <v>49383.791999999994</v>
      </c>
      <c r="G12" s="17">
        <v>15.55</v>
      </c>
    </row>
    <row r="13" spans="1:7">
      <c r="A13" s="4"/>
      <c r="B13" s="7" t="s">
        <v>10</v>
      </c>
      <c r="C13" s="12" t="s">
        <v>19</v>
      </c>
      <c r="D13" s="12" t="s">
        <v>32</v>
      </c>
      <c r="E13" s="19">
        <f>853.8*12*2.29</f>
        <v>23462.423999999995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853.8*12*3.4</f>
        <v>34835.039999999994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853.8*12*2.61</f>
        <v>26741.015999999996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29" t="s">
        <v>32</v>
      </c>
      <c r="E16" s="31">
        <f>853.8*12*4.64</f>
        <v>47539.583999999988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853.8*12*0.1</f>
        <v>1024.56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853.8*12*0.43</f>
        <v>4405.6079999999993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211776.55199999994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62293.247999999992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140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268901.70000000007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837.7*12*20.67</f>
        <v>207783.10800000004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837.7*6.08*12</f>
        <v>61118.592000000004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837.7*12*2.38</f>
        <v>23924.712000000003</v>
      </c>
      <c r="G10" s="17">
        <v>12.62</v>
      </c>
    </row>
    <row r="11" spans="1:7">
      <c r="A11" s="4"/>
      <c r="B11" s="7" t="s">
        <v>20</v>
      </c>
      <c r="C11" s="12" t="s">
        <v>19</v>
      </c>
      <c r="D11" s="12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837.7*12*4.82</f>
        <v>48452.568000000007</v>
      </c>
      <c r="G12" s="17">
        <v>15.55</v>
      </c>
    </row>
    <row r="13" spans="1:7">
      <c r="A13" s="4"/>
      <c r="B13" s="7" t="s">
        <v>10</v>
      </c>
      <c r="C13" s="12" t="s">
        <v>19</v>
      </c>
      <c r="D13" s="12" t="s">
        <v>32</v>
      </c>
      <c r="E13" s="19">
        <f>837.7*12*2.29</f>
        <v>23019.996000000003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837.7*12*3.4</f>
        <v>34178.160000000003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837.7*12*2.61</f>
        <v>26236.764000000003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837.7*12*4.64</f>
        <v>46643.136000000006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837.7*12*0.1</f>
        <v>1005.2400000000002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837.7*12*0.43</f>
        <v>4322.5320000000002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207783.10800000004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61118.592000000004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G25"/>
  <sheetViews>
    <sheetView workbookViewId="0">
      <selection activeCell="J29" sqref="J29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7.71093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201201.31199999998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796.9*12*16.39</f>
        <v>156734.29199999999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796.9*4.65*12</f>
        <v>44467.020000000004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796.9*12*0.003</f>
        <v>28.688399999999998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796.9*12*2.54</f>
        <v>24289.511999999999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796.9*12*2.11</f>
        <v>20177.507999999998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796.9*12*2.6</f>
        <v>24863.279999999999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796.9*12*1.92</f>
        <v>18360.575999999997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796.9*12*2.34</f>
        <v>22376.951999999997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796.9*12*1.36</f>
        <v>13005.407999999999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796.9*12*3.03</f>
        <v>28975.283999999996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796.9*12*0.07</f>
        <v>669.39599999999996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796.9*12*0.42</f>
        <v>4016.3759999999997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156762.9804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-28.688400000013644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6" t="s">
        <v>25</v>
      </c>
      <c r="C24" s="12" t="s">
        <v>19</v>
      </c>
      <c r="D24" s="12"/>
      <c r="E24" s="11">
        <v>0</v>
      </c>
    </row>
    <row r="25" spans="1:7">
      <c r="A25" s="4"/>
      <c r="B25" s="5" t="s">
        <v>14</v>
      </c>
      <c r="C25" s="12" t="s">
        <v>19</v>
      </c>
      <c r="D25" s="12"/>
      <c r="E25" s="10">
        <f>E7-E24</f>
        <v>44467.020000000004</v>
      </c>
    </row>
  </sheetData>
  <mergeCells count="3">
    <mergeCell ref="B23:E23"/>
    <mergeCell ref="A2:E2"/>
    <mergeCell ref="B9:E9"/>
  </mergeCells>
  <phoneticPr fontId="6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0"/>
  </sheetPr>
  <dimension ref="A1:J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6.28515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10">
      <c r="A1" s="1"/>
      <c r="B1" s="1"/>
      <c r="C1" s="9"/>
      <c r="D1" s="9"/>
      <c r="E1" s="2"/>
    </row>
    <row r="2" spans="1:10" ht="30" customHeight="1">
      <c r="A2" s="90" t="s">
        <v>26</v>
      </c>
      <c r="B2" s="90"/>
      <c r="C2" s="90"/>
      <c r="D2" s="90"/>
      <c r="E2" s="90"/>
    </row>
    <row r="3" spans="1:10">
      <c r="A3" s="1"/>
      <c r="B3" s="1"/>
      <c r="C3" s="9"/>
      <c r="D3" s="9"/>
      <c r="E3" s="9"/>
    </row>
    <row r="4" spans="1:10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10">
      <c r="A5" s="4"/>
      <c r="B5" s="5" t="s">
        <v>27</v>
      </c>
      <c r="C5" s="12" t="s">
        <v>19</v>
      </c>
      <c r="D5" s="12"/>
      <c r="E5" s="10">
        <f>E6+E7</f>
        <v>208325.7</v>
      </c>
    </row>
    <row r="6" spans="1:10">
      <c r="A6" s="4"/>
      <c r="B6" s="6" t="s">
        <v>4</v>
      </c>
      <c r="C6" s="12" t="s">
        <v>19</v>
      </c>
      <c r="D6" s="12" t="s">
        <v>78</v>
      </c>
      <c r="E6" s="11">
        <f>825*12*16.393</f>
        <v>162290.70000000001</v>
      </c>
      <c r="G6" s="17">
        <v>78.349999999999994</v>
      </c>
    </row>
    <row r="7" spans="1:10">
      <c r="A7" s="4"/>
      <c r="B7" s="6" t="s">
        <v>5</v>
      </c>
      <c r="C7" s="12" t="s">
        <v>19</v>
      </c>
      <c r="D7" s="12" t="s">
        <v>78</v>
      </c>
      <c r="E7" s="11">
        <f>825*4.65*12</f>
        <v>46035.000000000007</v>
      </c>
      <c r="G7" s="17">
        <v>21.65</v>
      </c>
    </row>
    <row r="8" spans="1:10">
      <c r="A8" s="4"/>
      <c r="B8" s="4"/>
      <c r="C8" s="12"/>
      <c r="D8" s="12"/>
      <c r="E8" s="12"/>
    </row>
    <row r="9" spans="1:10">
      <c r="A9" s="4"/>
      <c r="B9" s="91" t="s">
        <v>6</v>
      </c>
      <c r="C9" s="92"/>
      <c r="D9" s="92"/>
      <c r="E9" s="93"/>
    </row>
    <row r="10" spans="1:10">
      <c r="A10" s="4"/>
      <c r="B10" s="16" t="s">
        <v>21</v>
      </c>
      <c r="C10" s="12" t="s">
        <v>19</v>
      </c>
      <c r="D10" s="28"/>
      <c r="E10" s="18">
        <f>825*12*0.003</f>
        <v>29.7</v>
      </c>
      <c r="G10" s="17">
        <v>1.99</v>
      </c>
    </row>
    <row r="11" spans="1:10">
      <c r="A11" s="4"/>
      <c r="B11" s="7" t="s">
        <v>7</v>
      </c>
      <c r="C11" s="12" t="s">
        <v>19</v>
      </c>
      <c r="D11" s="28"/>
      <c r="E11" s="18">
        <f>825*12*2.54</f>
        <v>25146</v>
      </c>
      <c r="G11" s="17">
        <v>15.21</v>
      </c>
    </row>
    <row r="12" spans="1:10">
      <c r="A12" s="4"/>
      <c r="B12" s="7" t="s">
        <v>8</v>
      </c>
      <c r="C12" s="12" t="s">
        <v>19</v>
      </c>
      <c r="D12" s="12" t="s">
        <v>30</v>
      </c>
      <c r="E12" s="18">
        <f>825*12*2.11</f>
        <v>20889</v>
      </c>
      <c r="G12" s="17">
        <v>12.62</v>
      </c>
      <c r="I12" s="33"/>
      <c r="J12" s="33"/>
    </row>
    <row r="13" spans="1:10">
      <c r="A13" s="4"/>
      <c r="B13" s="7" t="s">
        <v>20</v>
      </c>
      <c r="C13" s="12" t="s">
        <v>19</v>
      </c>
      <c r="D13" s="28"/>
      <c r="E13" s="18"/>
      <c r="G13" s="17"/>
      <c r="I13" s="33"/>
      <c r="J13" s="33"/>
    </row>
    <row r="14" spans="1:10">
      <c r="A14" s="4"/>
      <c r="B14" s="7" t="s">
        <v>9</v>
      </c>
      <c r="C14" s="12" t="s">
        <v>19</v>
      </c>
      <c r="D14" s="12" t="s">
        <v>31</v>
      </c>
      <c r="E14" s="18">
        <f>825*12*2.6</f>
        <v>25740</v>
      </c>
      <c r="G14" s="17">
        <v>15.55</v>
      </c>
      <c r="I14" s="33"/>
      <c r="J14" s="33"/>
    </row>
    <row r="15" spans="1:10">
      <c r="A15" s="4"/>
      <c r="B15" s="7" t="s">
        <v>10</v>
      </c>
      <c r="C15" s="12" t="s">
        <v>19</v>
      </c>
      <c r="D15" s="29" t="s">
        <v>32</v>
      </c>
      <c r="E15" s="18">
        <f>825*12*1.92</f>
        <v>19008</v>
      </c>
      <c r="G15" s="17">
        <v>11.46</v>
      </c>
      <c r="I15" s="33"/>
      <c r="J15" s="33"/>
    </row>
    <row r="16" spans="1:10">
      <c r="A16" s="4"/>
      <c r="B16" s="7" t="s">
        <v>11</v>
      </c>
      <c r="C16" s="12" t="s">
        <v>19</v>
      </c>
      <c r="D16" s="28" t="s">
        <v>33</v>
      </c>
      <c r="E16" s="18">
        <f>825*12*2.34</f>
        <v>23166</v>
      </c>
      <c r="G16" s="17">
        <v>13.98</v>
      </c>
      <c r="I16" s="33"/>
      <c r="J16" s="34"/>
    </row>
    <row r="17" spans="1:10">
      <c r="A17" s="4"/>
      <c r="B17" s="7" t="s">
        <v>12</v>
      </c>
      <c r="C17" s="12" t="s">
        <v>19</v>
      </c>
      <c r="D17" s="28" t="s">
        <v>33</v>
      </c>
      <c r="E17" s="18">
        <f>825*12*1.36</f>
        <v>13464.000000000002</v>
      </c>
      <c r="G17" s="17">
        <v>8.1199999999999992</v>
      </c>
      <c r="I17" s="33"/>
      <c r="J17" s="33"/>
    </row>
    <row r="18" spans="1:10" ht="48">
      <c r="A18" s="4"/>
      <c r="B18" s="30" t="s">
        <v>34</v>
      </c>
      <c r="C18" s="31" t="s">
        <v>19</v>
      </c>
      <c r="D18" s="31" t="s">
        <v>32</v>
      </c>
      <c r="E18" s="31">
        <f>825*12*3.03</f>
        <v>29996.999999999996</v>
      </c>
      <c r="G18" s="17">
        <v>18.14</v>
      </c>
      <c r="I18" s="33"/>
      <c r="J18" s="33"/>
    </row>
    <row r="19" spans="1:10">
      <c r="A19" s="4"/>
      <c r="B19" s="7" t="s">
        <v>17</v>
      </c>
      <c r="C19" s="12" t="s">
        <v>19</v>
      </c>
      <c r="D19" s="12" t="s">
        <v>33</v>
      </c>
      <c r="E19" s="18">
        <f>825*12*0.07</f>
        <v>693.00000000000011</v>
      </c>
      <c r="F19" s="15"/>
      <c r="G19" s="17">
        <v>0.41</v>
      </c>
    </row>
    <row r="20" spans="1:10">
      <c r="A20" s="4"/>
      <c r="B20" s="7" t="s">
        <v>18</v>
      </c>
      <c r="C20" s="12" t="s">
        <v>19</v>
      </c>
      <c r="D20" s="12" t="s">
        <v>30</v>
      </c>
      <c r="E20" s="18">
        <f>825*12*0.42</f>
        <v>4158</v>
      </c>
      <c r="G20" s="17">
        <v>2.52</v>
      </c>
    </row>
    <row r="21" spans="1:10">
      <c r="A21" s="4"/>
      <c r="B21" s="8" t="s">
        <v>13</v>
      </c>
      <c r="C21" s="12" t="s">
        <v>19</v>
      </c>
      <c r="D21" s="12"/>
      <c r="E21" s="35">
        <f>E20+E19+E18+E17+E16+E15+E14+E13+E12+E11+E10</f>
        <v>162290.70000000001</v>
      </c>
      <c r="F21" s="15"/>
      <c r="G21" s="17">
        <f>G20+G19+G18+G17+G16+G15+G14+G13+G12+G11+G10</f>
        <v>100.00000000000001</v>
      </c>
    </row>
    <row r="22" spans="1:10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10">
      <c r="A23" s="4"/>
      <c r="B23" s="91" t="s">
        <v>15</v>
      </c>
      <c r="C23" s="92"/>
      <c r="D23" s="92"/>
      <c r="E23" s="93"/>
    </row>
    <row r="24" spans="1:10">
      <c r="A24" s="4"/>
      <c r="B24" s="5" t="s">
        <v>16</v>
      </c>
      <c r="C24" s="12" t="s">
        <v>19</v>
      </c>
      <c r="D24" s="12"/>
      <c r="E24" s="10"/>
    </row>
    <row r="25" spans="1:10">
      <c r="A25" s="4"/>
      <c r="B25" s="12" t="s">
        <v>25</v>
      </c>
      <c r="C25" s="12" t="s">
        <v>19</v>
      </c>
      <c r="D25" s="12"/>
      <c r="E25" s="11">
        <v>0</v>
      </c>
    </row>
    <row r="26" spans="1:10">
      <c r="B26" s="5" t="s">
        <v>14</v>
      </c>
      <c r="C26" s="12" t="s">
        <v>19</v>
      </c>
      <c r="D26" s="12"/>
      <c r="E26" s="20">
        <f>E7-E25</f>
        <v>46035.000000000007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0"/>
  </sheetPr>
  <dimension ref="A1:J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3.855468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10">
      <c r="A1" s="1"/>
      <c r="B1" s="1"/>
      <c r="C1" s="9"/>
      <c r="D1" s="9"/>
      <c r="E1" s="2"/>
    </row>
    <row r="2" spans="1:10" ht="30" customHeight="1">
      <c r="A2" s="90" t="s">
        <v>26</v>
      </c>
      <c r="B2" s="90"/>
      <c r="C2" s="90"/>
      <c r="D2" s="90"/>
      <c r="E2" s="90"/>
    </row>
    <row r="3" spans="1:10">
      <c r="A3" s="1"/>
      <c r="B3" s="1"/>
      <c r="C3" s="9"/>
      <c r="D3" s="9"/>
      <c r="E3" s="9"/>
    </row>
    <row r="4" spans="1:10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10">
      <c r="A5" s="4"/>
      <c r="B5" s="5" t="s">
        <v>27</v>
      </c>
      <c r="C5" s="12" t="s">
        <v>19</v>
      </c>
      <c r="D5" s="12"/>
      <c r="E5" s="10">
        <f>E6+E7</f>
        <v>207164.12640000001</v>
      </c>
    </row>
    <row r="6" spans="1:10">
      <c r="A6" s="4"/>
      <c r="B6" s="6" t="s">
        <v>4</v>
      </c>
      <c r="C6" s="12" t="s">
        <v>19</v>
      </c>
      <c r="D6" s="12" t="s">
        <v>78</v>
      </c>
      <c r="E6" s="11">
        <f>820.4*12*16.393</f>
        <v>161385.8064</v>
      </c>
      <c r="G6" s="17">
        <v>78.349999999999994</v>
      </c>
    </row>
    <row r="7" spans="1:10">
      <c r="A7" s="4"/>
      <c r="B7" s="6" t="s">
        <v>5</v>
      </c>
      <c r="C7" s="12" t="s">
        <v>19</v>
      </c>
      <c r="D7" s="12" t="s">
        <v>78</v>
      </c>
      <c r="E7" s="11">
        <f>820.4*4.65*12</f>
        <v>45778.32</v>
      </c>
      <c r="G7" s="17">
        <v>21.65</v>
      </c>
    </row>
    <row r="8" spans="1:10">
      <c r="A8" s="4"/>
      <c r="B8" s="4"/>
      <c r="C8" s="12"/>
      <c r="D8" s="12"/>
      <c r="E8" s="12"/>
    </row>
    <row r="9" spans="1:10">
      <c r="A9" s="4"/>
      <c r="B9" s="91" t="s">
        <v>6</v>
      </c>
      <c r="C9" s="92"/>
      <c r="D9" s="92"/>
      <c r="E9" s="93"/>
    </row>
    <row r="10" spans="1:10">
      <c r="A10" s="4"/>
      <c r="B10" s="16" t="s">
        <v>21</v>
      </c>
      <c r="C10" s="12" t="s">
        <v>19</v>
      </c>
      <c r="D10" s="27"/>
      <c r="E10" s="18">
        <f>820.4*12*0.003</f>
        <v>29.534399999999998</v>
      </c>
      <c r="G10" s="17">
        <v>1.99</v>
      </c>
    </row>
    <row r="11" spans="1:10">
      <c r="A11" s="4"/>
      <c r="B11" s="7" t="s">
        <v>7</v>
      </c>
      <c r="C11" s="12" t="s">
        <v>19</v>
      </c>
      <c r="D11" s="12"/>
      <c r="E11" s="19">
        <f>820.4*12*2.54</f>
        <v>25005.791999999998</v>
      </c>
      <c r="G11" s="17">
        <v>15.21</v>
      </c>
      <c r="I11" s="33"/>
      <c r="J11" s="33"/>
    </row>
    <row r="12" spans="1:10">
      <c r="A12" s="4"/>
      <c r="B12" s="7" t="s">
        <v>8</v>
      </c>
      <c r="C12" s="12" t="s">
        <v>19</v>
      </c>
      <c r="D12" s="12" t="s">
        <v>30</v>
      </c>
      <c r="E12" s="19">
        <f>820.4*12*2.11</f>
        <v>20772.527999999998</v>
      </c>
      <c r="G12" s="17">
        <v>12.62</v>
      </c>
      <c r="I12" s="33"/>
      <c r="J12" s="33"/>
    </row>
    <row r="13" spans="1:10">
      <c r="A13" s="4"/>
      <c r="B13" s="7" t="s">
        <v>20</v>
      </c>
      <c r="C13" s="12" t="s">
        <v>19</v>
      </c>
      <c r="D13" s="28"/>
      <c r="E13" s="19"/>
      <c r="G13" s="17"/>
      <c r="I13" s="33"/>
      <c r="J13" s="33"/>
    </row>
    <row r="14" spans="1:10">
      <c r="A14" s="4"/>
      <c r="B14" s="7" t="s">
        <v>9</v>
      </c>
      <c r="C14" s="12" t="s">
        <v>19</v>
      </c>
      <c r="D14" s="12" t="s">
        <v>31</v>
      </c>
      <c r="E14" s="19">
        <f>820.4*12*2.6</f>
        <v>25596.48</v>
      </c>
      <c r="G14" s="17">
        <v>15.55</v>
      </c>
      <c r="I14" s="34"/>
      <c r="J14" s="33"/>
    </row>
    <row r="15" spans="1:10">
      <c r="A15" s="4"/>
      <c r="B15" s="7" t="s">
        <v>10</v>
      </c>
      <c r="C15" s="12" t="s">
        <v>19</v>
      </c>
      <c r="D15" s="29" t="s">
        <v>32</v>
      </c>
      <c r="E15" s="19">
        <f>820.4*12*1.92</f>
        <v>18902.016</v>
      </c>
      <c r="G15" s="17">
        <v>11.46</v>
      </c>
      <c r="I15" s="34"/>
      <c r="J15" s="33"/>
    </row>
    <row r="16" spans="1:10">
      <c r="A16" s="4"/>
      <c r="B16" s="7" t="s">
        <v>11</v>
      </c>
      <c r="C16" s="12" t="s">
        <v>19</v>
      </c>
      <c r="D16" s="28" t="s">
        <v>33</v>
      </c>
      <c r="E16" s="19">
        <f>820.4*12*2.34</f>
        <v>23036.831999999999</v>
      </c>
      <c r="G16" s="17">
        <v>13.98</v>
      </c>
      <c r="I16" s="34"/>
      <c r="J16" s="33"/>
    </row>
    <row r="17" spans="1:10">
      <c r="A17" s="4"/>
      <c r="B17" s="7" t="s">
        <v>12</v>
      </c>
      <c r="C17" s="12" t="s">
        <v>19</v>
      </c>
      <c r="D17" s="28" t="s">
        <v>33</v>
      </c>
      <c r="E17" s="19">
        <f>820.4*12*1.36</f>
        <v>13388.928</v>
      </c>
      <c r="G17" s="17">
        <v>8.1199999999999992</v>
      </c>
      <c r="I17" s="34"/>
      <c r="J17" s="33"/>
    </row>
    <row r="18" spans="1:10" ht="48">
      <c r="A18" s="4"/>
      <c r="B18" s="30" t="s">
        <v>34</v>
      </c>
      <c r="C18" s="31" t="s">
        <v>19</v>
      </c>
      <c r="D18" s="31" t="s">
        <v>32</v>
      </c>
      <c r="E18" s="31">
        <f>820.4*12*3.03</f>
        <v>29829.743999999995</v>
      </c>
      <c r="G18" s="17">
        <v>18.14</v>
      </c>
      <c r="I18" s="36"/>
      <c r="J18" s="33"/>
    </row>
    <row r="19" spans="1:10">
      <c r="A19" s="4"/>
      <c r="B19" s="7" t="s">
        <v>17</v>
      </c>
      <c r="C19" s="12" t="s">
        <v>19</v>
      </c>
      <c r="D19" s="12" t="s">
        <v>33</v>
      </c>
      <c r="E19" s="19">
        <f>820.4*12*0.07</f>
        <v>689.13599999999997</v>
      </c>
      <c r="F19" s="15"/>
      <c r="G19" s="17">
        <v>0.41</v>
      </c>
      <c r="I19" s="36"/>
      <c r="J19" s="33"/>
    </row>
    <row r="20" spans="1:10">
      <c r="A20" s="4"/>
      <c r="B20" s="7" t="s">
        <v>18</v>
      </c>
      <c r="C20" s="12" t="s">
        <v>19</v>
      </c>
      <c r="D20" s="12" t="s">
        <v>30</v>
      </c>
      <c r="E20" s="19">
        <f>820.4*12*0.42</f>
        <v>4134.8159999999998</v>
      </c>
      <c r="G20" s="17">
        <v>2.52</v>
      </c>
      <c r="I20" s="32"/>
      <c r="J20" s="33"/>
    </row>
    <row r="21" spans="1:10">
      <c r="A21" s="4"/>
      <c r="B21" s="8" t="s">
        <v>13</v>
      </c>
      <c r="C21" s="12" t="s">
        <v>19</v>
      </c>
      <c r="D21" s="12"/>
      <c r="E21" s="10">
        <f>E20+E19+E18+E17+E16+E15+E14+E13+E12+E11+E10</f>
        <v>161385.80639999997</v>
      </c>
      <c r="F21" s="15"/>
      <c r="G21" s="17">
        <f>G20+G19+G18+G17+G16+G15+G14+G13+G12+G11+G10</f>
        <v>100.00000000000001</v>
      </c>
      <c r="I21" s="34"/>
      <c r="J21" s="33"/>
    </row>
    <row r="22" spans="1:10">
      <c r="A22" s="4"/>
      <c r="B22" s="5" t="s">
        <v>14</v>
      </c>
      <c r="C22" s="12" t="s">
        <v>19</v>
      </c>
      <c r="D22" s="12"/>
      <c r="E22" s="10">
        <f>E6-E21</f>
        <v>0</v>
      </c>
      <c r="I22" s="34"/>
      <c r="J22" s="33"/>
    </row>
    <row r="23" spans="1:10">
      <c r="A23" s="4"/>
      <c r="B23" s="91" t="s">
        <v>15</v>
      </c>
      <c r="C23" s="92"/>
      <c r="D23" s="92"/>
      <c r="E23" s="93"/>
      <c r="I23" s="33"/>
      <c r="J23" s="33"/>
    </row>
    <row r="24" spans="1:10">
      <c r="A24" s="4"/>
      <c r="B24" s="5" t="s">
        <v>16</v>
      </c>
      <c r="C24" s="12" t="s">
        <v>19</v>
      </c>
      <c r="D24" s="12"/>
      <c r="E24" s="10"/>
      <c r="I24" s="33"/>
      <c r="J24" s="33"/>
    </row>
    <row r="25" spans="1:10">
      <c r="B25" s="12" t="s">
        <v>25</v>
      </c>
      <c r="C25" s="12" t="s">
        <v>19</v>
      </c>
      <c r="D25" s="12"/>
      <c r="E25" s="11">
        <v>0</v>
      </c>
    </row>
    <row r="26" spans="1:10">
      <c r="B26" s="5" t="s">
        <v>14</v>
      </c>
      <c r="C26" s="12" t="s">
        <v>19</v>
      </c>
      <c r="D26" s="12"/>
      <c r="E26" s="20">
        <f>E7-E25</f>
        <v>45778.32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140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208401.45479999998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825.3*12*16.393</f>
        <v>162349.71479999999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825.3*4.65*12</f>
        <v>46051.74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825.3*12*0.003</f>
        <v>29.710799999999995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825.3*12*2.54</f>
        <v>25155.143999999997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825.3*12*2.11</f>
        <v>20896.595999999994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825.3*12*2.6</f>
        <v>25749.359999999997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825.3*12*1.92</f>
        <v>19014.911999999997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825.3*12*2.34</f>
        <v>23174.423999999995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825.3*12*1.36</f>
        <v>13468.895999999999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825.3*12*3.03</f>
        <v>30007.907999999992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825.3*12*0.07</f>
        <v>693.25199999999995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825.3*12*0.42</f>
        <v>4159.5119999999988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162349.71479999999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46051.74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3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209866.04760000002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831.1*12*16.393</f>
        <v>163490.66760000002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831.1*4.65*12</f>
        <v>46375.380000000005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831.1*12*0.003</f>
        <v>29.919600000000003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831.1*12*2.54</f>
        <v>25331.928000000004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831.1*12*2.11</f>
        <v>21043.452000000001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831.1*12*2.6</f>
        <v>25930.320000000003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831.1*12*1.92</f>
        <v>19148.544000000002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831.1*12*2.34</f>
        <v>23337.288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831.1*12*1.36</f>
        <v>13563.552000000001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831.1*12*3.03</f>
        <v>30218.795999999998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831.1*12*0.07</f>
        <v>698.12400000000014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831.1*12*0.42</f>
        <v>4188.7440000000006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163490.66760000002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46375.380000000005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50" style="3" customWidth="1"/>
    <col min="3" max="3" width="10" style="13" customWidth="1"/>
    <col min="4" max="4" width="16.140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22.15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209159.00279999996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828.3*12*16.393</f>
        <v>162939.86279999997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828.3*4.65*12</f>
        <v>46219.14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828.3*12*0.003</f>
        <v>29.818799999999996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828.3*12*2.54</f>
        <v>25246.583999999995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828.3*12*2.11</f>
        <v>20972.555999999997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828.3*12*2.6</f>
        <v>25842.959999999995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828.3*12*1.92</f>
        <v>19084.031999999996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828.3*12*2.34</f>
        <v>23258.663999999993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828.3*12*1.36</f>
        <v>13517.856</v>
      </c>
      <c r="G17" s="17">
        <v>8.1199999999999992</v>
      </c>
    </row>
    <row r="18" spans="1:7" ht="36">
      <c r="A18" s="4"/>
      <c r="B18" s="30" t="s">
        <v>34</v>
      </c>
      <c r="C18" s="31" t="s">
        <v>19</v>
      </c>
      <c r="D18" s="31" t="s">
        <v>32</v>
      </c>
      <c r="E18" s="31">
        <f>828.3*12*3.03</f>
        <v>30116.987999999994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828.3*12*0.07</f>
        <v>695.77199999999993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828.3*12*0.42</f>
        <v>4174.6319999999996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162939.86279999997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46219.14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topLeftCell="A2"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28515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207492.39720000004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821.7*12*16.393</f>
        <v>161641.53720000002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821.7*4.65*12</f>
        <v>45850.860000000008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821.7*12*0.003</f>
        <v>29.581200000000006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821.7*12*2.54</f>
        <v>25045.416000000005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821.7*12*2.11</f>
        <v>20805.444000000003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821.7*12*2.6</f>
        <v>25637.040000000005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821.7*12*1.92</f>
        <v>18931.968000000001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821.7*12*2.34</f>
        <v>23073.336000000003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821.7*12*1.36</f>
        <v>13410.144000000002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821.7*12*3.03</f>
        <v>29877.012000000002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821.7*12*0.07</f>
        <v>690.22800000000018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821.7*12*0.42</f>
        <v>4141.3680000000004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161641.53720000002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45850.860000000008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3.855468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212088.18840000001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839.9*12*16.393</f>
        <v>165221.7684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839.9*4.65*12</f>
        <v>46866.420000000006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839.9*12*0.003</f>
        <v>30.2364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839.9*12*2.54</f>
        <v>25600.151999999998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839.9*12*2.11</f>
        <v>21266.267999999996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839.9*12*2.6</f>
        <v>26204.879999999997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839.9*12*1.92</f>
        <v>19351.295999999998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839.9*12*2.34</f>
        <v>23584.391999999996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839.9*12*1.36</f>
        <v>13707.168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839.9*12*3.03</f>
        <v>30538.763999999996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839.9*12*0.07</f>
        <v>705.51599999999996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839.9*12*0.42</f>
        <v>4233.0959999999995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165221.7684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46866.420000000006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855468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211608.408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838*12*16.393</f>
        <v>164848.008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838*4.65*12</f>
        <v>46760.4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838*12*0.003</f>
        <v>30.167999999999999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838*12*2.54</f>
        <v>25542.240000000002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838*12*2.11</f>
        <v>21218.16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838*12*2.6</f>
        <v>26145.600000000002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838*12*1.92</f>
        <v>19307.52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838*12*2.34</f>
        <v>23531.039999999997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838*12*1.36</f>
        <v>13676.160000000002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838*12*3.03</f>
        <v>30469.679999999997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838*12*0.07</f>
        <v>703.92000000000007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838*12*0.42</f>
        <v>4223.5199999999995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164848.008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46760.4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6.28515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238880.136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946*12*16.393</f>
        <v>186093.33600000001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946*4.65*12</f>
        <v>52786.8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946*12*0.003</f>
        <v>34.055999999999997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946*12*2.54</f>
        <v>28834.080000000002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946*12*2.11</f>
        <v>23952.719999999998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946*12*2.6</f>
        <v>29515.200000000001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946*12*1.92</f>
        <v>21795.84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946*12*2.34</f>
        <v>26563.679999999997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946*12*1.36</f>
        <v>15438.720000000001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946*12*3.03</f>
        <v>34396.559999999998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946*12*0.07</f>
        <v>794.6400000000001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946*12*0.42</f>
        <v>4767.84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186093.33600000004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52786.8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140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203881.4184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807.4*12*16.393</f>
        <v>158828.49839999998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807.4*4.65*12</f>
        <v>45052.920000000006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807.4*12*0.003</f>
        <v>29.066399999999998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807.4*12*2.54</f>
        <v>24609.552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807.4*12*2.11</f>
        <v>20443.367999999999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807.4*12*2.6</f>
        <v>25190.879999999997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807.4*12*1.92</f>
        <v>18602.495999999999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807.4*12*2.34</f>
        <v>22671.791999999998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807.4*12*1.36</f>
        <v>13176.768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807.4*12*3.03</f>
        <v>29357.063999999995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807.4*12*0.07</f>
        <v>678.21600000000001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807.4*12*0.42</f>
        <v>4069.2959999999994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158828.49839999998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45052.920000000006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G27"/>
  <sheetViews>
    <sheetView workbookViewId="0">
      <selection activeCell="E27" sqref="E2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3.71093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197186.88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781*12*16.39</f>
        <v>153607.08000000002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781*4.65*12</f>
        <v>43579.8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781*12*0.003</f>
        <v>28.116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781*12*2.54</f>
        <v>23804.880000000001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781*12*2.11</f>
        <v>19774.919999999998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781*12*2.6</f>
        <v>24367.200000000001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781*12*1.92</f>
        <v>17994.239999999998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781*12*2.34</f>
        <v>21930.48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781*12*1.36</f>
        <v>12745.92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781*12*3.03</f>
        <v>28397.16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781*12*0.07</f>
        <v>656.04000000000008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781*12*0.42</f>
        <v>3936.24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153635.196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-28.115999999979977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/>
      <c r="D24" s="12"/>
      <c r="E24" s="10"/>
    </row>
    <row r="25" spans="1:7">
      <c r="A25" s="4"/>
      <c r="B25" s="23" t="s">
        <v>75</v>
      </c>
      <c r="C25" s="12" t="s">
        <v>19</v>
      </c>
      <c r="D25" s="12"/>
      <c r="E25" s="11">
        <v>50000</v>
      </c>
    </row>
    <row r="26" spans="1:7">
      <c r="A26" s="4"/>
      <c r="B26" s="12" t="s">
        <v>25</v>
      </c>
      <c r="C26" s="12" t="s">
        <v>19</v>
      </c>
      <c r="D26" s="12"/>
      <c r="E26" s="11">
        <f>E25</f>
        <v>50000</v>
      </c>
    </row>
    <row r="27" spans="1:7">
      <c r="A27" s="24"/>
      <c r="B27" s="5" t="s">
        <v>14</v>
      </c>
      <c r="C27" s="12" t="s">
        <v>19</v>
      </c>
      <c r="D27" s="12"/>
      <c r="E27" s="10">
        <f>E7-E26</f>
        <v>-6420.1999999999971</v>
      </c>
    </row>
  </sheetData>
  <mergeCells count="3">
    <mergeCell ref="B23:E23"/>
    <mergeCell ref="A2:E2"/>
    <mergeCell ref="B9:E9"/>
  </mergeCells>
  <phoneticPr fontId="6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140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206608.59120000002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818.2*12*16.393</f>
        <v>160953.03120000003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818.2*4.65*12</f>
        <v>45655.560000000005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818.2*12*0.003</f>
        <v>29.455200000000005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818.2*12*2.54</f>
        <v>24938.736000000004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818.2*12*2.11</f>
        <v>20716.824000000001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818.2*12*2.6</f>
        <v>25527.840000000004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818.2*12*1.92</f>
        <v>18851.328000000001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818.2*12*2.34</f>
        <v>22975.056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818.2*12*1.36</f>
        <v>13353.024000000003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818.2*12*3.03</f>
        <v>29749.752000000004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818.2*12*0.07</f>
        <v>687.28800000000012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818.2*12*0.42</f>
        <v>4123.7280000000001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160953.0312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45655.560000000005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57031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209815.54439999998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830.9*12*16.393</f>
        <v>163451.32439999998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830.9*4.65*12</f>
        <v>46364.22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830.9*12*0.003</f>
        <v>29.912399999999998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830.9*12*2.54</f>
        <v>25325.831999999999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830.9*12*2.11</f>
        <v>21038.387999999999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830.9*12*2.6</f>
        <v>25924.079999999998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830.9*12*1.92</f>
        <v>19143.935999999998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830.9*12*2.34</f>
        <v>23331.671999999999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830.9*12*1.36</f>
        <v>13560.288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830.9*12*3.03</f>
        <v>30211.523999999998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830.9*12*0.07</f>
        <v>697.95600000000002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830.9*12*0.42</f>
        <v>4187.7359999999999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163451.32440000001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46364.22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104516.37239999999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413.9*12*16.393</f>
        <v>81420.752399999998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413.9*4.65*12</f>
        <v>23095.62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413.9*12*0.003</f>
        <v>14.900399999999998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413.9*12*2.54</f>
        <v>12615.671999999999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413.9*12*2.11</f>
        <v>10479.947999999999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413.9*12*2.6</f>
        <v>12913.679999999998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413.9*12*1.92</f>
        <v>9536.2559999999976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413.9*12*2.34</f>
        <v>11622.311999999998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413.9*12*1.36</f>
        <v>6754.847999999999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413.9*12*3.03</f>
        <v>15049.403999999997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413.9*12*0.07</f>
        <v>347.67599999999999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413.9*12*0.42</f>
        <v>2086.0559999999996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81420.752399999983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A26" s="4"/>
      <c r="B26" s="5" t="s">
        <v>14</v>
      </c>
      <c r="C26" s="12" t="s">
        <v>19</v>
      </c>
      <c r="D26" s="12"/>
      <c r="E26" s="20">
        <f>E7-E25</f>
        <v>23095.62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6.71093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266365.8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829.8*12*20.67</f>
        <v>205823.59199999998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829.8*6.08*12</f>
        <v>60542.207999999999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829.8*12*2.38</f>
        <v>23699.087999999996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829.8*12*4.82</f>
        <v>47995.631999999998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829.8*12*2.29</f>
        <v>22802.903999999999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829.8*12*3.4</f>
        <v>33855.839999999997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829.8*12*2.61</f>
        <v>25989.335999999996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829.8*12*4.64</f>
        <v>46203.263999999988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829.8*12*0.1</f>
        <v>995.75999999999988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829.8*12*0.43</f>
        <v>4281.7679999999991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205823.59199999995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60542.207999999999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8.855468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24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104516.37239999999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413.9*12*16.393</f>
        <v>81420.752399999998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413.9*4.65*12</f>
        <v>23095.62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413.9*12*0.003</f>
        <v>14.900399999999998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413.9*12*2.54</f>
        <v>12615.671999999999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413.9*12*2.11</f>
        <v>10479.947999999999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413.9*12*2.6</f>
        <v>12913.679999999998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413.9*12*1.92</f>
        <v>9536.2559999999976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413.9*12*2.34</f>
        <v>11622.311999999998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413.9*12*1.36</f>
        <v>6754.847999999999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413.9*12*3.03</f>
        <v>15049.403999999997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413.9*12*0.07</f>
        <v>347.67599999999999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413.9*12*0.42</f>
        <v>2086.0559999999996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81420.752399999983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23095.62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7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212365.95600000001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841*12*16.393</f>
        <v>165438.15600000002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841*4.65*12</f>
        <v>46927.8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841*12*0.003</f>
        <v>30.276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841*12*2.54</f>
        <v>25633.68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841*12*2.11</f>
        <v>21294.12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841*12*2.6</f>
        <v>26239.200000000001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841*12*1.92</f>
        <v>19376.64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841*12*2.34</f>
        <v>23615.279999999999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841*12*1.36</f>
        <v>13725.12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841*12*3.03</f>
        <v>30578.76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841*12*0.07</f>
        <v>706.44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841*12*0.42</f>
        <v>4238.6399999999994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165438.15599999999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A26" s="4"/>
      <c r="B26" s="5" t="s">
        <v>14</v>
      </c>
      <c r="C26" s="12" t="s">
        <v>19</v>
      </c>
      <c r="D26" s="12"/>
      <c r="E26" s="20">
        <f>E7-E25</f>
        <v>46927.8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8.57031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24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207618.65520000004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822.2*12*16.393</f>
        <v>161739.89520000003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822.2*4.65*12</f>
        <v>45878.760000000009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822.2*12*0.003</f>
        <v>29.599200000000003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822.2*12*2.54</f>
        <v>25060.656000000003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822.2*12*2.11</f>
        <v>20818.104000000003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822.2*12*2.6</f>
        <v>25652.640000000003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822.2*12*1.92</f>
        <v>18943.488000000001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822.2*12*2.34</f>
        <v>23087.376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822.2*12*1.36</f>
        <v>13418.304000000004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822.2*12*3.03</f>
        <v>29895.192000000003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822.2*12*0.07</f>
        <v>690.64800000000014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822.2*12*0.42</f>
        <v>4143.8880000000008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161739.89520000003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A26" s="4"/>
      <c r="B26" s="5" t="s">
        <v>14</v>
      </c>
      <c r="C26" s="12" t="s">
        <v>19</v>
      </c>
      <c r="D26" s="12"/>
      <c r="E26" s="20">
        <f>E7-E25</f>
        <v>45878.760000000009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6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212466.96239999999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841.4*12*16.393</f>
        <v>165516.84239999999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841.4*4.65*12</f>
        <v>46950.12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841.4*12*0.003</f>
        <v>30.290399999999998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841.4*12*2.54</f>
        <v>25645.871999999999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841.4*12*2.11</f>
        <v>21304.247999999996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841.4*12*2.6</f>
        <v>26251.68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841.4*12*1.92</f>
        <v>19385.855999999996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841.4*12*2.34</f>
        <v>23626.511999999995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841.4*12*1.36</f>
        <v>13731.647999999999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841.4*12*3.03</f>
        <v>30593.303999999996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841.4*12*0.07</f>
        <v>706.77600000000007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841.4*12*0.42</f>
        <v>4240.6559999999999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165516.84239999999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A26" s="4"/>
      <c r="B26" s="5" t="s">
        <v>14</v>
      </c>
      <c r="C26" s="12" t="s">
        <v>19</v>
      </c>
      <c r="D26" s="12"/>
      <c r="E26" s="20">
        <f>E7-E25</f>
        <v>46950.12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7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215320.39320000002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852.7*12*16.393</f>
        <v>167739.73320000002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852.7*4.65*12</f>
        <v>47580.66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852.7*12*0.003</f>
        <v>30.697200000000006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852.7*12*2.54</f>
        <v>25990.296000000006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852.7*12*2.11</f>
        <v>21590.364000000001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852.7*12*2.6</f>
        <v>26604.240000000005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852.7*12*1.92</f>
        <v>19646.208000000002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852.7*12*2.34</f>
        <v>23943.816000000003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852.7*12*1.36</f>
        <v>13916.064000000002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852.7*12*3.03</f>
        <v>31004.172000000002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852.7*12*0.07</f>
        <v>716.26800000000014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852.7*12*0.42</f>
        <v>4297.6080000000002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167739.73320000002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47580.66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7.425781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207719.66160000002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822.6*12*16.393</f>
        <v>161818.5816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822.6*4.65*12</f>
        <v>45901.080000000009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822.6*12*0.003</f>
        <v>29.613600000000002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822.6*12*2.54</f>
        <v>25072.848000000002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822.6*12*2.11</f>
        <v>20828.232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822.6*12*2.6</f>
        <v>25665.120000000003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822.6*12*1.92</f>
        <v>18952.704000000002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822.6*12*2.34</f>
        <v>23098.608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822.6*12*1.36</f>
        <v>13424.832000000002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822.6*12*3.03</f>
        <v>29909.736000000001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822.6*12*0.07</f>
        <v>690.98400000000015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822.6*12*0.42</f>
        <v>4145.9040000000005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161818.5816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45901.080000000009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H29" sqref="H29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28515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202286.97600000002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801.2*12*16.39</f>
        <v>157580.01600000003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801.2*4.65*12</f>
        <v>44706.960000000006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801.2*12*0.003</f>
        <v>28.843200000000007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801.2*12*2.54</f>
        <v>24420.576000000005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801.2*12*2.11</f>
        <v>20286.384000000002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801.2*12*2.6</f>
        <v>24997.440000000006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801.2*12*1.92</f>
        <v>18459.648000000001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801.2*12*2.34</f>
        <v>22497.696000000004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801.2*12*1.34</f>
        <v>12883.296000000002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801.2*12*3.03</f>
        <v>29131.632000000001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801.2*12*0.07</f>
        <v>673.00800000000015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801.2*12*0.42</f>
        <v>4038.0480000000007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157416.57120000001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163.44480000002659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A26" s="4"/>
      <c r="B26" s="5" t="s">
        <v>14</v>
      </c>
      <c r="C26" s="12" t="s">
        <v>19</v>
      </c>
      <c r="D26" s="12"/>
      <c r="E26" s="10">
        <f>E7-E25</f>
        <v>44706.960000000006</v>
      </c>
    </row>
  </sheetData>
  <mergeCells count="3">
    <mergeCell ref="A2:E2"/>
    <mergeCell ref="B9:E9"/>
    <mergeCell ref="B23:E23"/>
  </mergeCells>
  <phoneticPr fontId="6" type="noConversion"/>
  <dataValidations count="1">
    <dataValidation type="list" allowBlank="1" showInputMessage="1" showErrorMessage="1" sqref="B5:E5">
      <formula1>Адреса</formula1>
    </dataValidation>
  </dataValidation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6.28515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209108.49960000004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828.1*12*16.393</f>
        <v>162900.51960000003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828.1*4.65*12</f>
        <v>46207.98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828.1*12*0.003</f>
        <v>29.811600000000002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828.1*12*2.54</f>
        <v>25240.488000000001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828.1*12*2.11</f>
        <v>20967.492000000002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828.1*12*2.6</f>
        <v>25836.720000000001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828.1*12*1.92</f>
        <v>19079.423999999999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828.1*12*2.34</f>
        <v>23253.047999999999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828.1*12*1.36</f>
        <v>13514.592000000002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828.1*12*3.03</f>
        <v>30109.716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828.1*12*0.07</f>
        <v>695.60400000000016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828.1*12*0.42</f>
        <v>4173.6239999999998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162900.5196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3"/>
      <c r="D24" s="3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46207.98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855468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208578.21600000001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826*12*16.393</f>
        <v>162487.416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826*4.65*12</f>
        <v>46090.8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826*12*0.003</f>
        <v>29.736000000000001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826*12*2.54</f>
        <v>25176.48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826*12*2.11</f>
        <v>20914.32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826*12*2.6</f>
        <v>25771.200000000001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826*12*1.92</f>
        <v>19031.04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826*12*2.34</f>
        <v>23194.079999999998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826*12*1.36</f>
        <v>13480.320000000002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826*12*3.03</f>
        <v>30033.359999999997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826*12*0.07</f>
        <v>693.84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826*12*0.42</f>
        <v>4163.04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162487.416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A26" s="4"/>
      <c r="B26" s="5" t="s">
        <v>14</v>
      </c>
      <c r="C26" s="12" t="s">
        <v>19</v>
      </c>
      <c r="D26" s="12"/>
      <c r="E26" s="20">
        <f>E7-E25</f>
        <v>46090.8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7.71093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207164.12640000001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820.4*12*16.393</f>
        <v>161385.8064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820.4*4.65*12</f>
        <v>45778.32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820.4*12*0.003</f>
        <v>29.534399999999998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820.4*12*2.54</f>
        <v>25005.791999999998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820.4*12*2.11</f>
        <v>20772.527999999998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820.4*12*2.6</f>
        <v>25596.48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820.4*12*1.92</f>
        <v>18902.016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820.4*12*2.34</f>
        <v>23036.831999999999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820.4*12*1.36</f>
        <v>13388.928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820.4*12*3.03</f>
        <v>29829.743999999995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820.4*12*0.07</f>
        <v>689.13599999999997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820.4*12*0.42</f>
        <v>4134.8159999999998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161385.80639999997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45778.32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3.57031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208325.7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825*12*16.393</f>
        <v>162290.70000000001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825*4.65*12</f>
        <v>46035.000000000007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825*12*0.003</f>
        <v>29.7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825*12*2.54</f>
        <v>25146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825*12*2.11</f>
        <v>20889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825*12*2.6</f>
        <v>25740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825*12*1.92</f>
        <v>19008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825*12*2.34</f>
        <v>23166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825*12*1.36</f>
        <v>13464.000000000002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825*12*3.03</f>
        <v>29996.999999999996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825*12*0.07</f>
        <v>693.00000000000011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825*12*0.42</f>
        <v>4158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162290.70000000001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B26" s="5" t="s">
        <v>14</v>
      </c>
      <c r="C26" s="12" t="s">
        <v>19</v>
      </c>
      <c r="D26" s="12"/>
      <c r="E26" s="20">
        <f>E7-E25</f>
        <v>46035.000000000007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E7" sqref="E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71093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104844.64320000001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415.2*12*16.393</f>
        <v>81676.483200000002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415.2*4.65*12</f>
        <v>23168.16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415.2*12*0.003</f>
        <v>14.947199999999999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415.2*12*2.54</f>
        <v>12655.295999999998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415.2*12*2.11</f>
        <v>10512.863999999998</v>
      </c>
      <c r="G12" s="17">
        <v>12.62</v>
      </c>
    </row>
    <row r="13" spans="1:7">
      <c r="A13" s="4"/>
      <c r="B13" s="7" t="s">
        <v>20</v>
      </c>
      <c r="C13" s="12" t="s">
        <v>19</v>
      </c>
      <c r="D13" s="28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415.2*12*2.6</f>
        <v>12954.24</v>
      </c>
      <c r="G14" s="17">
        <v>15.55</v>
      </c>
    </row>
    <row r="15" spans="1:7">
      <c r="A15" s="4"/>
      <c r="B15" s="7" t="s">
        <v>10</v>
      </c>
      <c r="C15" s="12" t="s">
        <v>19</v>
      </c>
      <c r="D15" s="29" t="s">
        <v>32</v>
      </c>
      <c r="E15" s="19">
        <f>415.2*12*1.92</f>
        <v>9566.2079999999987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415.2*12*2.34</f>
        <v>11658.815999999999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415.2*12*1.36</f>
        <v>6776.0640000000003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31" t="s">
        <v>32</v>
      </c>
      <c r="E18" s="31">
        <f>415.2*12*3.03</f>
        <v>15096.671999999999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415.2*12*0.07</f>
        <v>348.76800000000003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415.2*12*0.42</f>
        <v>2092.6079999999997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81676.483199999988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0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A26" s="4"/>
      <c r="B26" s="5" t="s">
        <v>14</v>
      </c>
      <c r="C26" s="12" t="s">
        <v>19</v>
      </c>
      <c r="D26" s="12"/>
      <c r="E26" s="20">
        <f>E7-E25</f>
        <v>23168.16</v>
      </c>
    </row>
  </sheetData>
  <mergeCells count="3">
    <mergeCell ref="A2:E2"/>
    <mergeCell ref="B9:E9"/>
    <mergeCell ref="B23:E23"/>
  </mergeCells>
  <phoneticPr fontId="6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6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275225.40000000002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857.4*12*20.67</f>
        <v>212669.49600000001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857.4*6.08*12</f>
        <v>62555.904000000002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857.4*12*2.38</f>
        <v>24487.343999999997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857.4*12*4.82</f>
        <v>49592.015999999996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857.4*12*2.29</f>
        <v>23561.351999999999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857.4*12*3.4</f>
        <v>34981.919999999998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857.4*12*2.61</f>
        <v>26853.767999999996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857.4*12*4.64</f>
        <v>47740.031999999992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857.4*12*0.1</f>
        <v>1028.8799999999999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857.4*12*0.43</f>
        <v>4424.1839999999993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212669.49599999998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62555.904000000002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6.57031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268516.5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836.5*12*20.67</f>
        <v>207485.46000000002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836.5*6.08*12</f>
        <v>61031.040000000001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836.5*12*2.38</f>
        <v>23890.44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836.5*12*4.82</f>
        <v>48383.16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836.5*12*2.29</f>
        <v>22987.02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836.5*12*3.4</f>
        <v>34129.199999999997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836.5*12*2.61</f>
        <v>26199.18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836.5*12*4.64</f>
        <v>46576.32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836.5*12*0.1</f>
        <v>1003.8000000000001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836.5*12*0.43</f>
        <v>4316.34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207485.46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61031.040000000001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I16" sqref="I1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268677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837*12*20.67</f>
        <v>207609.48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837*6.08*12</f>
        <v>61067.520000000004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837*12*2.38</f>
        <v>23904.719999999998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837*12*4.82</f>
        <v>48412.08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837*12*2.29</f>
        <v>23000.760000000002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837*12*3.4</f>
        <v>34149.599999999999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837*12*2.61</f>
        <v>26214.84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837*12*4.64</f>
        <v>46604.159999999996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837*12*0.1</f>
        <v>1004.4000000000001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837*12*0.43</f>
        <v>4318.92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207609.48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61067.520000000004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264536.10000000003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824.1*12*20.67</f>
        <v>204409.76400000002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824.1*6.08*12</f>
        <v>60126.336000000003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824.1*12*2.38</f>
        <v>23536.296000000002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824.1*12*4.82</f>
        <v>47665.944000000003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824.1*12*2.29</f>
        <v>22646.268000000004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824.1*12*3.4</f>
        <v>33623.279999999999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824.1*12*2.61</f>
        <v>25810.812000000002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824.1*12*4.64</f>
        <v>45885.887999999999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824.1*12*0.1</f>
        <v>988.92000000000007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824.1*12*0.43</f>
        <v>4252.3560000000007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204409.764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60126.336000000003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I14" sqref="I14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140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275610.60000000003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858.6*12*20.67</f>
        <v>212967.14400000003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858.6*6.08*12</f>
        <v>62643.456000000006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858.6*12*2.38</f>
        <v>24521.616000000002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858.6*12*4.82</f>
        <v>49661.424000000006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858.6*12*2.29</f>
        <v>23594.328000000001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858.6*12*3.4</f>
        <v>35030.880000000005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858.6*12*2.61</f>
        <v>26891.351999999999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858.6*12*4.64</f>
        <v>47806.847999999998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858.6*12*0.1</f>
        <v>1030.3200000000002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858.6*12*0.43</f>
        <v>4430.3760000000002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212967.144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62643.456000000006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G27"/>
  <sheetViews>
    <sheetView workbookViewId="0">
      <selection activeCell="E27" sqref="E2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6.425781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209709.88800000004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830.6*12*16.39</f>
        <v>163362.40800000002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830.6*4.65*12</f>
        <v>46347.48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830.6*12*0.003</f>
        <v>29.901600000000002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830.6*12*2.54</f>
        <v>25316.688000000002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830.6*12*2.11</f>
        <v>21030.792000000001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830.6*12*2.6</f>
        <v>25914.720000000001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830.6*12*1.92</f>
        <v>19137.024000000001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830.6*12*2.34</f>
        <v>23323.248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830.6*12*1.36</f>
        <v>13555.392000000002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830.6*12*3.03</f>
        <v>30200.616000000002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830.6*12*0.07</f>
        <v>697.70400000000006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830.6*12*0.42</f>
        <v>4186.2240000000002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163392.30960000004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-29.901600000011967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23" t="s">
        <v>76</v>
      </c>
      <c r="C25" s="12" t="s">
        <v>19</v>
      </c>
      <c r="D25" s="12"/>
      <c r="E25" s="11">
        <v>50000</v>
      </c>
    </row>
    <row r="26" spans="1:7">
      <c r="A26" s="4"/>
      <c r="B26" s="12" t="s">
        <v>25</v>
      </c>
      <c r="C26" s="12" t="s">
        <v>19</v>
      </c>
      <c r="D26" s="12"/>
      <c r="E26" s="11">
        <f>E25</f>
        <v>50000</v>
      </c>
    </row>
    <row r="27" spans="1:7">
      <c r="A27" s="4"/>
      <c r="B27" s="5" t="s">
        <v>14</v>
      </c>
      <c r="C27" s="12" t="s">
        <v>19</v>
      </c>
      <c r="D27" s="12"/>
      <c r="E27" s="10">
        <f>E7-E26</f>
        <v>-3652.5199999999968</v>
      </c>
    </row>
  </sheetData>
  <mergeCells count="3">
    <mergeCell ref="B23:E23"/>
    <mergeCell ref="A2:E2"/>
    <mergeCell ref="B9:E9"/>
  </mergeCells>
  <phoneticPr fontId="6" type="noConversion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263541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821*12*20.67</f>
        <v>203640.84000000003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821*6.08*12</f>
        <v>59900.160000000003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821*12*2.38</f>
        <v>23447.759999999998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821*12*4.82</f>
        <v>47486.64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821*12*2.29</f>
        <v>22561.08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821*12*3.4</f>
        <v>33496.799999999996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821*12*2.61</f>
        <v>25713.719999999998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821*12*4.64</f>
        <v>45713.279999999999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821*12*0.1</f>
        <v>985.2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821*12*0.43</f>
        <v>4236.3599999999997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203640.84000000003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59900.160000000003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7.140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131754.45000000001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820.9*6*20.67</f>
        <v>101808.018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820.9*6.08*6</f>
        <v>29946.432000000001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820.9*6*2.38</f>
        <v>11722.451999999999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820.9*6*4.82</f>
        <v>23740.428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820.9*6*2.29</f>
        <v>11279.165999999999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820.9*6*3.4</f>
        <v>16746.359999999997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820.9*6*2.61</f>
        <v>12855.293999999998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820.9*6*4.64</f>
        <v>22853.855999999996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820.9*6*0.1</f>
        <v>492.53999999999996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820.9*6*0.43</f>
        <v>2117.922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101808.018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29946.432000000001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6.425781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132958.20000000001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828.4*6*20.67</f>
        <v>102738.16800000001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828.4*6.08*6</f>
        <v>30220.031999999999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828.4*6*2.38</f>
        <v>11829.551999999998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828.4*6*4.82</f>
        <v>23957.328000000001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828.4*6*2.29</f>
        <v>11382.215999999999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828.4*6*3.4</f>
        <v>16899.359999999997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828.4*6*2.61</f>
        <v>12972.743999999999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828.4*6*4.64</f>
        <v>23062.655999999995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828.4*6*0.1</f>
        <v>497.03999999999996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828.4*6*0.43</f>
        <v>2137.2719999999999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102738.16799999998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30220.031999999999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425781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275674.8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858.8*12*20.67</f>
        <v>213016.75199999998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858.8*6.08*12</f>
        <v>62658.047999999995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858.8*12*2.38</f>
        <v>24527.327999999994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858.8*12*4.82</f>
        <v>49672.991999999998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858.8*12*2.29</f>
        <v>23599.823999999997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858.8*12*3.4</f>
        <v>35039.039999999994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858.8*12*2.61</f>
        <v>26897.615999999995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858.8*12*4.64</f>
        <v>47817.983999999989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858.8*12*0.1</f>
        <v>1030.56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858.8*12*0.43</f>
        <v>4431.4079999999994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213016.75199999998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62658.047999999995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855468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266494.20000000007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830.2*12*20.67</f>
        <v>205922.80800000005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830.2*6.08*12</f>
        <v>60571.392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830.2*12*2.38</f>
        <v>23710.512000000002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830.2*12*4.82</f>
        <v>48018.768000000011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830.2*12*2.29</f>
        <v>22813.896000000004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830.2*12*3.4</f>
        <v>33872.160000000003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830.2*12*2.61</f>
        <v>26001.864000000001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830.2*12*4.64</f>
        <v>46225.536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830.2*12*0.1</f>
        <v>996.24000000000024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830.2*12*0.43</f>
        <v>4283.8320000000003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205922.80800000002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60571.392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7.140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67602.600000000006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421.2*6*20.67</f>
        <v>52237.224000000002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421.2*6.08*6</f>
        <v>15365.376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421.2*6*2.38</f>
        <v>6014.735999999999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421.2*6*4.82</f>
        <v>12181.103999999999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421.2*6*2.29</f>
        <v>5787.2879999999996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421.2*6*3.4</f>
        <v>8592.48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421.2*6*2.61</f>
        <v>6595.9919999999993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421.2*6*4.64</f>
        <v>11726.207999999999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421.2*6*0.1</f>
        <v>252.72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421.2*6*0.43</f>
        <v>1086.6959999999999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52237.223999999995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15365.376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266622.60000000003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830.6*12*20.67</f>
        <v>206022.02400000003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830.6*6.08*12</f>
        <v>60600.576000000001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830.6*12*2.38</f>
        <v>23721.936000000002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830.6*12*4.82</f>
        <v>48041.90400000001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830.6*12*2.29</f>
        <v>22824.888000000003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830.6*12*3.4</f>
        <v>33888.480000000003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830.6*12*2.61</f>
        <v>26014.392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830.6*12*4.64</f>
        <v>46247.807999999997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830.6*12*0.1</f>
        <v>996.72000000000014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830.6*12*0.43</f>
        <v>4285.8960000000006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206022.02400000003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60600.576000000001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7.140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67602.600000000006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421.2*6*20.67</f>
        <v>52237.224000000002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421.2*6.08*6</f>
        <v>15365.376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421.2*6*2.38</f>
        <v>6014.735999999999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421.2*6*4.82</f>
        <v>12181.103999999999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421.2*6*2.29</f>
        <v>5787.2879999999996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421.2*6*3.4</f>
        <v>8592.48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421.2*6*2.61</f>
        <v>6595.9919999999993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421.2*6*4.64</f>
        <v>11726.207999999999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421.2*6*0.1</f>
        <v>252.72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421.2*6*0.43</f>
        <v>1086.6959999999999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52237.223999999995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15365.376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140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132701.4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826.8*6*20.67</f>
        <v>102539.73599999999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826.8*6.08*6</f>
        <v>30161.663999999997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826.8*6*2.38</f>
        <v>11806.703999999998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826.8*6*4.82</f>
        <v>23911.055999999997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826.8*6*2.29</f>
        <v>11360.231999999998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826.8*6*3.4</f>
        <v>16866.719999999998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826.8*6*2.61</f>
        <v>12947.687999999998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826.8*6*4.64</f>
        <v>23018.111999999994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826.8*6*0.1</f>
        <v>496.07999999999993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826.8*6*0.43</f>
        <v>2133.1439999999998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102539.73599999999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30161.663999999997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6.855468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200544.75000000003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1249.5*6*20.67</f>
        <v>154962.99000000002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1249.5*6.08*6</f>
        <v>45581.760000000002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1249.5*6*2.38</f>
        <v>17842.86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1249.5*6*4.82</f>
        <v>36135.54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1249.5*6*2.29</f>
        <v>17168.13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1249.5*6*3.4</f>
        <v>25489.8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1249.5*6*2.61</f>
        <v>19567.169999999998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1249.5*6*4.64</f>
        <v>34786.079999999994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1249.5*6*0.1</f>
        <v>749.7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1249.5*6*0.43</f>
        <v>3223.71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154962.99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45581.760000000002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G26"/>
  <sheetViews>
    <sheetView workbookViewId="0">
      <selection activeCell="I25" sqref="I25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3.855468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220162.56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872*12*16.39</f>
        <v>171504.96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872*4.65*12</f>
        <v>48657.600000000006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4" t="s">
        <v>19</v>
      </c>
      <c r="D10" s="14"/>
      <c r="E10" s="18">
        <f>872*12*0.003</f>
        <v>31.391999999999999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872*12*2.54</f>
        <v>26578.560000000001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872*12*2.11</f>
        <v>22079.039999999997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872*12*2.6</f>
        <v>27206.400000000001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872*12*1.92</f>
        <v>20090.88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872*12*2.34</f>
        <v>24485.759999999998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872*12*1.36</f>
        <v>14231.04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872*12*3.03</f>
        <v>31705.919999999998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872*12*0.07</f>
        <v>732.48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872*12*0.42</f>
        <v>4394.88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171536.35200000001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-31.392000000021653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12" t="s">
        <v>25</v>
      </c>
      <c r="C25" s="12" t="s">
        <v>19</v>
      </c>
      <c r="D25" s="12"/>
      <c r="E25" s="11">
        <v>0</v>
      </c>
    </row>
    <row r="26" spans="1:7">
      <c r="A26" s="4"/>
      <c r="B26" s="5" t="s">
        <v>14</v>
      </c>
      <c r="C26" s="12" t="s">
        <v>19</v>
      </c>
      <c r="D26" s="12"/>
      <c r="E26" s="10">
        <f>E7-E25</f>
        <v>48657.600000000006</v>
      </c>
    </row>
  </sheetData>
  <mergeCells count="3">
    <mergeCell ref="B23:E23"/>
    <mergeCell ref="A2:E2"/>
    <mergeCell ref="B9:E9"/>
  </mergeCells>
  <phoneticPr fontId="6" type="noConversion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140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131850.75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821.5*6*20.67</f>
        <v>101882.43000000001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821.5*6.08*6</f>
        <v>29968.32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821.5*6*2.38</f>
        <v>11731.019999999999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821.5*6*4.82</f>
        <v>23757.780000000002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821.5*6*2.29</f>
        <v>11287.41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821.5*6*3.4</f>
        <v>16758.599999999999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821.5*6*2.61</f>
        <v>12864.689999999999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821.5*6*4.64</f>
        <v>22870.559999999998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821.5*6*0.1</f>
        <v>492.90000000000003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821.5*6*0.43</f>
        <v>2119.4699999999998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101882.43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29968.32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7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132701.4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826.8*6*20.67</f>
        <v>102539.73599999999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826.8*6.08*6</f>
        <v>30161.663999999997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826.8*6*2.38</f>
        <v>11806.703999999998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826.8*6*4.82</f>
        <v>23911.055999999997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826.8*6*2.29</f>
        <v>11360.231999999998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826.8*6*3.4</f>
        <v>16866.719999999998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826.8*6*2.61</f>
        <v>12947.687999999998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826.8*6*4.64</f>
        <v>23018.111999999994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826.8*6*0.1</f>
        <v>496.07999999999993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826.8*6*0.43</f>
        <v>2133.1439999999998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102539.73599999999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30161.663999999997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140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132123.60000000003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823.2*6*20.67</f>
        <v>102093.26400000002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823.2*6.08*6</f>
        <v>30030.336000000003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823.2*6*2.38</f>
        <v>11755.296000000002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823.2*6*4.82</f>
        <v>23806.944000000003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823.2*6*2.29</f>
        <v>11310.768000000002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823.2*6*3.4</f>
        <v>16793.280000000002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823.2*6*2.61</f>
        <v>12891.312000000002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823.2*6*4.64</f>
        <v>22917.888000000003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823.2*6*0.1</f>
        <v>493.92000000000007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823.2*6*0.43</f>
        <v>2123.8560000000002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102093.26400000001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 ht="12.75" customHeight="1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30030.336000000003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57031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137644.80000000002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857.6*6*20.67</f>
        <v>106359.55200000001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857.6*6.08*6</f>
        <v>31285.248000000003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857.6*6*2.38</f>
        <v>12246.528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857.6*6*4.82</f>
        <v>24801.792000000005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857.6*6*2.29</f>
        <v>11783.424000000001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857.6*6*3.4</f>
        <v>17495.04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857.6*6*2.61</f>
        <v>13430.016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857.6*6*4.64</f>
        <v>23875.583999999999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857.6*6*0.1</f>
        <v>514.56000000000006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857.6*6*0.43</f>
        <v>2212.6080000000002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106359.55200000001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31285.248000000003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855468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132701.4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826.8*6*20.67</f>
        <v>102539.73599999999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826.8*6.08*6</f>
        <v>30161.663999999997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826.8*6*2.38</f>
        <v>11806.703999999998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826.8*6*4.82</f>
        <v>23911.055999999997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826.8*6*2.29</f>
        <v>11360.231999999998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826.8*6*3.4</f>
        <v>16866.719999999998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826.8*6*2.61</f>
        <v>12947.687999999998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826.8*6*4.64</f>
        <v>23018.111999999994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826.8*6*0.1</f>
        <v>496.07999999999993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826.8*6*0.43</f>
        <v>2133.1439999999998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102539.73599999999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30161.663999999997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theme="0"/>
  </sheetPr>
  <dimension ref="A2:G62"/>
  <sheetViews>
    <sheetView topLeftCell="A28" workbookViewId="0">
      <selection activeCell="K35" sqref="K35"/>
    </sheetView>
  </sheetViews>
  <sheetFormatPr defaultRowHeight="15"/>
  <cols>
    <col min="1" max="1" width="54.140625" customWidth="1"/>
    <col min="2" max="2" width="20.85546875" customWidth="1"/>
    <col min="3" max="3" width="22" customWidth="1"/>
    <col min="4" max="4" width="30.42578125" hidden="1" customWidth="1"/>
    <col min="5" max="7" width="0" hidden="1" customWidth="1"/>
  </cols>
  <sheetData>
    <row r="2" spans="1:7">
      <c r="A2" s="98" t="s">
        <v>74</v>
      </c>
      <c r="B2" s="98"/>
      <c r="C2" s="98"/>
      <c r="D2" s="98"/>
      <c r="E2" s="98"/>
    </row>
    <row r="3" spans="1:7" ht="15.75" thickBot="1"/>
    <row r="4" spans="1:7" ht="38.25">
      <c r="A4" s="67" t="s">
        <v>35</v>
      </c>
      <c r="B4" s="65" t="s">
        <v>36</v>
      </c>
      <c r="C4" s="66" t="s">
        <v>73</v>
      </c>
      <c r="D4" s="65" t="s">
        <v>67</v>
      </c>
    </row>
    <row r="5" spans="1:7">
      <c r="A5" s="64" t="s">
        <v>72</v>
      </c>
      <c r="B5" s="60" t="s">
        <v>68</v>
      </c>
      <c r="C5" s="71">
        <f>C10+C11+C12+C13+C14+C15+C16+C17+C18+C19+C20+C21+C22+C24+C25+C26+C27+C28+C30+C31+C32+C33+C34+C35</f>
        <v>311299.29599999997</v>
      </c>
      <c r="D5" s="47"/>
    </row>
    <row r="6" spans="1:7">
      <c r="A6" s="63" t="s">
        <v>71</v>
      </c>
      <c r="B6" s="60"/>
      <c r="C6" s="71"/>
      <c r="D6" s="47"/>
    </row>
    <row r="7" spans="1:7">
      <c r="A7" s="61" t="s">
        <v>4</v>
      </c>
      <c r="B7" s="60" t="s">
        <v>68</v>
      </c>
      <c r="C7" s="71">
        <f>C10+C11+C12+C13+C14+C15+C16+C17+C18+C19+C20+C21+C22+C24+C25+C26+C27+C28+C30+C31+C32+C33+C34+C35</f>
        <v>311299.29599999997</v>
      </c>
      <c r="D7" s="47"/>
      <c r="G7">
        <v>1281.7</v>
      </c>
    </row>
    <row r="8" spans="1:7">
      <c r="A8" s="59"/>
      <c r="B8" s="58"/>
      <c r="C8" s="57"/>
      <c r="D8" s="47"/>
    </row>
    <row r="9" spans="1:7" ht="44.25" customHeight="1">
      <c r="A9" s="94" t="s">
        <v>22</v>
      </c>
      <c r="B9" s="95"/>
      <c r="C9" s="96"/>
      <c r="D9" s="54"/>
      <c r="G9">
        <v>1281.7</v>
      </c>
    </row>
    <row r="10" spans="1:7">
      <c r="A10" s="53" t="s">
        <v>37</v>
      </c>
      <c r="B10" s="97" t="s">
        <v>70</v>
      </c>
      <c r="C10" s="71">
        <f>D10*G7*12</f>
        <v>1691.8440000000001</v>
      </c>
      <c r="D10" s="51">
        <v>0.11</v>
      </c>
      <c r="G10">
        <v>1281.7</v>
      </c>
    </row>
    <row r="11" spans="1:7">
      <c r="A11" s="53" t="s">
        <v>39</v>
      </c>
      <c r="B11" s="97"/>
      <c r="C11" s="71">
        <f>D11*G7*12</f>
        <v>3537.4920000000002</v>
      </c>
      <c r="D11" s="51">
        <v>0.23</v>
      </c>
      <c r="G11">
        <v>1281.7</v>
      </c>
    </row>
    <row r="12" spans="1:7" ht="26.25">
      <c r="A12" s="53" t="s">
        <v>40</v>
      </c>
      <c r="B12" s="97"/>
      <c r="C12" s="71">
        <f>D12*12*G7</f>
        <v>6921.18</v>
      </c>
      <c r="D12" s="51">
        <v>0.45</v>
      </c>
      <c r="G12">
        <v>1281.7</v>
      </c>
    </row>
    <row r="13" spans="1:7" ht="26.25">
      <c r="A13" s="53" t="s">
        <v>41</v>
      </c>
      <c r="B13" s="97"/>
      <c r="C13" s="71">
        <f>D13*12*G7</f>
        <v>1538.0400000000002</v>
      </c>
      <c r="D13" s="51">
        <v>0.1</v>
      </c>
      <c r="G13">
        <v>1281.7</v>
      </c>
    </row>
    <row r="14" spans="1:7" ht="26.25">
      <c r="A14" s="53" t="s">
        <v>42</v>
      </c>
      <c r="B14" s="97"/>
      <c r="C14" s="71">
        <f>D14*12*G7</f>
        <v>1538.0400000000002</v>
      </c>
      <c r="D14" s="51">
        <v>0.1</v>
      </c>
      <c r="G14">
        <v>1281.7</v>
      </c>
    </row>
    <row r="15" spans="1:7" ht="26.25">
      <c r="A15" s="53" t="s">
        <v>43</v>
      </c>
      <c r="B15" s="97"/>
      <c r="C15" s="71">
        <f>D15*12*G7</f>
        <v>922.82399999999996</v>
      </c>
      <c r="D15" s="51">
        <v>0.06</v>
      </c>
      <c r="G15">
        <v>1281.7</v>
      </c>
    </row>
    <row r="16" spans="1:7" ht="26.25">
      <c r="A16" s="53" t="s">
        <v>44</v>
      </c>
      <c r="B16" s="97"/>
      <c r="C16" s="71">
        <f>D16*12*G7</f>
        <v>13996.164000000001</v>
      </c>
      <c r="D16" s="51">
        <v>0.91</v>
      </c>
      <c r="G16">
        <v>1281.7</v>
      </c>
    </row>
    <row r="17" spans="1:7" ht="26.25">
      <c r="A17" s="53" t="s">
        <v>45</v>
      </c>
      <c r="B17" s="97"/>
      <c r="C17" s="71">
        <f>D17*12*G7</f>
        <v>3229.884</v>
      </c>
      <c r="D17" s="51">
        <v>0.21</v>
      </c>
      <c r="G17">
        <v>1281.7</v>
      </c>
    </row>
    <row r="18" spans="1:7" ht="26.25">
      <c r="A18" s="53" t="s">
        <v>46</v>
      </c>
      <c r="B18" s="97"/>
      <c r="C18" s="71">
        <f>D18*G16*12</f>
        <v>21071.148000000001</v>
      </c>
      <c r="D18" s="51">
        <v>1.37</v>
      </c>
      <c r="G18">
        <v>1281.7</v>
      </c>
    </row>
    <row r="19" spans="1:7" ht="26.25">
      <c r="A19" s="53" t="s">
        <v>47</v>
      </c>
      <c r="B19" s="97"/>
      <c r="C19" s="71">
        <f>D19*G17*12</f>
        <v>615.21600000000001</v>
      </c>
      <c r="D19" s="51">
        <v>0.04</v>
      </c>
      <c r="G19">
        <v>1281.7</v>
      </c>
    </row>
    <row r="20" spans="1:7" ht="90">
      <c r="A20" s="53" t="s">
        <v>69</v>
      </c>
      <c r="B20" s="97"/>
      <c r="C20" s="71">
        <f>D20*G18*12</f>
        <v>9997.26</v>
      </c>
      <c r="D20" s="51">
        <v>0.65</v>
      </c>
      <c r="G20">
        <v>1281.7</v>
      </c>
    </row>
    <row r="21" spans="1:7" ht="51.75">
      <c r="A21" s="53" t="s">
        <v>49</v>
      </c>
      <c r="B21" s="97"/>
      <c r="C21" s="71">
        <f>D21*G19*12</f>
        <v>1845.6480000000001</v>
      </c>
      <c r="D21" s="51">
        <v>0.12</v>
      </c>
      <c r="G21">
        <v>1281.7</v>
      </c>
    </row>
    <row r="22" spans="1:7" ht="39">
      <c r="A22" s="53" t="s">
        <v>50</v>
      </c>
      <c r="B22" s="97"/>
      <c r="C22" s="71">
        <f>D22*G20*12</f>
        <v>3229.884</v>
      </c>
      <c r="D22" s="51">
        <v>0.21</v>
      </c>
      <c r="G22">
        <v>1281.7</v>
      </c>
    </row>
    <row r="23" spans="1:7" ht="27" customHeight="1">
      <c r="A23" s="99" t="s">
        <v>23</v>
      </c>
      <c r="B23" s="100"/>
      <c r="C23" s="101"/>
      <c r="D23" s="56"/>
      <c r="G23">
        <v>1281.7</v>
      </c>
    </row>
    <row r="24" spans="1:7" ht="26.25">
      <c r="A24" s="53" t="s">
        <v>51</v>
      </c>
      <c r="B24" s="97" t="s">
        <v>52</v>
      </c>
      <c r="C24" s="71">
        <f>D24*G22*12</f>
        <v>10766.279999999999</v>
      </c>
      <c r="D24" s="55">
        <v>0.7</v>
      </c>
      <c r="G24">
        <v>1281.7</v>
      </c>
    </row>
    <row r="25" spans="1:7" ht="39">
      <c r="A25" s="53" t="s">
        <v>53</v>
      </c>
      <c r="B25" s="97"/>
      <c r="C25" s="71">
        <f>D25*G23*12</f>
        <v>7228.7880000000005</v>
      </c>
      <c r="D25" s="55">
        <v>0.47</v>
      </c>
      <c r="G25">
        <v>1281.7</v>
      </c>
    </row>
    <row r="26" spans="1:7" ht="39">
      <c r="A26" s="53" t="s">
        <v>54</v>
      </c>
      <c r="B26" s="97"/>
      <c r="C26" s="71">
        <f>D26*G24*12</f>
        <v>17995.067999999999</v>
      </c>
      <c r="D26" s="55">
        <v>1.17</v>
      </c>
      <c r="G26">
        <v>1281.7</v>
      </c>
    </row>
    <row r="27" spans="1:7" ht="39">
      <c r="A27" s="53" t="s">
        <v>55</v>
      </c>
      <c r="B27" s="97"/>
      <c r="C27" s="71">
        <f>D27*G25*12</f>
        <v>36143.94</v>
      </c>
      <c r="D27" s="55">
        <v>2.35</v>
      </c>
      <c r="G27">
        <v>1281.7</v>
      </c>
    </row>
    <row r="28" spans="1:7" ht="51.75">
      <c r="A28" s="53" t="s">
        <v>56</v>
      </c>
      <c r="B28" s="97"/>
      <c r="C28" s="71">
        <f>D28*G26*12</f>
        <v>17533.655999999999</v>
      </c>
      <c r="D28" s="55">
        <v>1.1399999999999999</v>
      </c>
      <c r="G28">
        <v>1281.7</v>
      </c>
    </row>
    <row r="29" spans="1:7" ht="27.75" customHeight="1">
      <c r="A29" s="94" t="s">
        <v>24</v>
      </c>
      <c r="B29" s="95"/>
      <c r="C29" s="96"/>
      <c r="D29" s="54"/>
      <c r="G29">
        <v>1281.7</v>
      </c>
    </row>
    <row r="30" spans="1:7" ht="26.25">
      <c r="A30" s="53" t="s">
        <v>57</v>
      </c>
      <c r="B30" s="37" t="s">
        <v>58</v>
      </c>
      <c r="C30" s="71">
        <f t="shared" ref="C30:C35" si="0">D30*G28*12</f>
        <v>28299.936000000002</v>
      </c>
      <c r="D30" s="51">
        <v>1.84</v>
      </c>
      <c r="G30">
        <v>1281.7</v>
      </c>
    </row>
    <row r="31" spans="1:7" ht="77.25">
      <c r="A31" s="53" t="s">
        <v>59</v>
      </c>
      <c r="B31" s="37" t="s">
        <v>58</v>
      </c>
      <c r="C31" s="71">
        <f t="shared" si="0"/>
        <v>40142.843999999997</v>
      </c>
      <c r="D31" s="51">
        <v>2.61</v>
      </c>
      <c r="G31">
        <v>1281.7</v>
      </c>
    </row>
    <row r="32" spans="1:7" ht="26.25">
      <c r="A32" s="53" t="s">
        <v>60</v>
      </c>
      <c r="B32" s="37" t="s">
        <v>58</v>
      </c>
      <c r="C32" s="71">
        <f t="shared" si="0"/>
        <v>28453.739999999998</v>
      </c>
      <c r="D32" s="51">
        <v>1.85</v>
      </c>
      <c r="G32">
        <v>1281.7</v>
      </c>
    </row>
    <row r="33" spans="1:7" ht="26.25">
      <c r="A33" s="53" t="s">
        <v>61</v>
      </c>
      <c r="B33" s="37" t="s">
        <v>31</v>
      </c>
      <c r="C33" s="71">
        <f t="shared" si="0"/>
        <v>28915.152000000002</v>
      </c>
      <c r="D33" s="51">
        <v>1.88</v>
      </c>
      <c r="G33">
        <v>1281.7</v>
      </c>
    </row>
    <row r="34" spans="1:7" ht="64.5">
      <c r="A34" s="53" t="s">
        <v>62</v>
      </c>
      <c r="B34" s="37" t="s">
        <v>63</v>
      </c>
      <c r="C34" s="71">
        <f t="shared" si="0"/>
        <v>14611.380000000001</v>
      </c>
      <c r="D34" s="51">
        <v>0.95</v>
      </c>
      <c r="G34">
        <v>1281.7</v>
      </c>
    </row>
    <row r="35" spans="1:7" ht="52.5" thickBot="1">
      <c r="A35" s="50" t="s">
        <v>64</v>
      </c>
      <c r="B35" s="49" t="s">
        <v>30</v>
      </c>
      <c r="C35" s="71">
        <f t="shared" si="0"/>
        <v>11073.887999999999</v>
      </c>
      <c r="D35" s="48">
        <v>0.72</v>
      </c>
      <c r="G35">
        <v>1281.7</v>
      </c>
    </row>
    <row r="36" spans="1:7">
      <c r="A36" s="8" t="s">
        <v>13</v>
      </c>
      <c r="B36" s="12" t="s">
        <v>19</v>
      </c>
      <c r="C36" s="71">
        <f>C35+C34+C33+C32+C31+C30+C28+C27+C26+C25+C24+C22+C21+C20+C19+C18+C17+C16+C15+C14+C13+C12+C11+C10</f>
        <v>311299.29599999997</v>
      </c>
      <c r="D36" s="10">
        <f>D35+D34+D33+D32+D31+D30+D29+D28+D27</f>
        <v>13.34</v>
      </c>
      <c r="G36">
        <v>1281.7</v>
      </c>
    </row>
    <row r="37" spans="1:7">
      <c r="A37" s="5" t="s">
        <v>14</v>
      </c>
      <c r="B37" s="12" t="s">
        <v>19</v>
      </c>
      <c r="C37" s="12">
        <f>C5-C36</f>
        <v>0</v>
      </c>
      <c r="D37" s="10">
        <f>D23-D36</f>
        <v>-13.34</v>
      </c>
      <c r="G37">
        <v>1281.7</v>
      </c>
    </row>
    <row r="38" spans="1:7">
      <c r="G38">
        <v>1281.7</v>
      </c>
    </row>
    <row r="39" spans="1:7">
      <c r="G39">
        <v>1281.7</v>
      </c>
    </row>
    <row r="40" spans="1:7">
      <c r="G40">
        <v>1281.7</v>
      </c>
    </row>
    <row r="41" spans="1:7">
      <c r="G41">
        <v>1281.7</v>
      </c>
    </row>
    <row r="42" spans="1:7">
      <c r="G42">
        <v>1281.7</v>
      </c>
    </row>
    <row r="43" spans="1:7">
      <c r="G43">
        <v>1281.7</v>
      </c>
    </row>
    <row r="44" spans="1:7">
      <c r="G44">
        <v>1281.7</v>
      </c>
    </row>
    <row r="45" spans="1:7">
      <c r="G45">
        <v>1281.7</v>
      </c>
    </row>
    <row r="46" spans="1:7">
      <c r="G46">
        <v>1281.7</v>
      </c>
    </row>
    <row r="47" spans="1:7">
      <c r="G47">
        <v>1281.7</v>
      </c>
    </row>
    <row r="48" spans="1:7">
      <c r="G48">
        <v>1281.7</v>
      </c>
    </row>
    <row r="49" spans="7:7">
      <c r="G49">
        <v>1281.7</v>
      </c>
    </row>
    <row r="50" spans="7:7">
      <c r="G50">
        <v>1281.7</v>
      </c>
    </row>
    <row r="51" spans="7:7">
      <c r="G51">
        <v>1281.7</v>
      </c>
    </row>
    <row r="52" spans="7:7">
      <c r="G52">
        <v>1281.7</v>
      </c>
    </row>
    <row r="53" spans="7:7">
      <c r="G53">
        <v>1281.7</v>
      </c>
    </row>
    <row r="54" spans="7:7">
      <c r="G54">
        <v>1281.7</v>
      </c>
    </row>
    <row r="55" spans="7:7">
      <c r="G55">
        <v>1281.7</v>
      </c>
    </row>
    <row r="56" spans="7:7">
      <c r="G56">
        <v>1281.7</v>
      </c>
    </row>
    <row r="57" spans="7:7">
      <c r="G57">
        <v>1281.7</v>
      </c>
    </row>
    <row r="58" spans="7:7">
      <c r="G58">
        <v>1281.7</v>
      </c>
    </row>
    <row r="59" spans="7:7">
      <c r="G59">
        <v>1281.7</v>
      </c>
    </row>
    <row r="60" spans="7:7">
      <c r="G60">
        <v>1281.7</v>
      </c>
    </row>
    <row r="61" spans="7:7">
      <c r="G61">
        <v>1281.7</v>
      </c>
    </row>
    <row r="62" spans="7:7">
      <c r="G62">
        <v>1281.7</v>
      </c>
    </row>
  </sheetData>
  <mergeCells count="6">
    <mergeCell ref="A29:C29"/>
    <mergeCell ref="B10:B22"/>
    <mergeCell ref="B24:B28"/>
    <mergeCell ref="A2:E2"/>
    <mergeCell ref="A9:C9"/>
    <mergeCell ref="A23:C23"/>
  </mergeCells>
  <phoneticPr fontId="6" type="noConversion"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sheetPr>
    <tabColor theme="0"/>
  </sheetPr>
  <dimension ref="A2:G63"/>
  <sheetViews>
    <sheetView topLeftCell="A28" workbookViewId="0">
      <selection activeCell="C30" sqref="C30:C36"/>
    </sheetView>
  </sheetViews>
  <sheetFormatPr defaultRowHeight="15"/>
  <cols>
    <col min="1" max="1" width="54.140625" customWidth="1"/>
    <col min="2" max="2" width="20.85546875" customWidth="1"/>
    <col min="3" max="3" width="22" customWidth="1"/>
    <col min="4" max="4" width="30.42578125" hidden="1" customWidth="1"/>
    <col min="5" max="6" width="0" hidden="1" customWidth="1"/>
    <col min="7" max="7" width="9.5703125" hidden="1" customWidth="1"/>
  </cols>
  <sheetData>
    <row r="2" spans="1:7">
      <c r="A2" s="98" t="s">
        <v>74</v>
      </c>
      <c r="B2" s="98"/>
      <c r="C2" s="98"/>
      <c r="D2" s="98"/>
      <c r="E2" s="98"/>
    </row>
    <row r="3" spans="1:7" ht="15.75" thickBot="1"/>
    <row r="4" spans="1:7" ht="38.25">
      <c r="A4" s="67" t="s">
        <v>35</v>
      </c>
      <c r="B4" s="65" t="s">
        <v>36</v>
      </c>
      <c r="C4" s="66" t="s">
        <v>73</v>
      </c>
      <c r="D4" s="65" t="s">
        <v>67</v>
      </c>
    </row>
    <row r="5" spans="1:7">
      <c r="A5" s="64" t="s">
        <v>72</v>
      </c>
      <c r="B5" s="60" t="s">
        <v>68</v>
      </c>
      <c r="C5" s="71">
        <f>C10+C11+C12+C13+C14+C15+C16+C17+C18+C19+C20+C21+C22+C24+C25+C26+C27+C28+C30+C31+C32+C33+C34+C35</f>
        <v>312027.93600000005</v>
      </c>
      <c r="D5" s="47"/>
    </row>
    <row r="6" spans="1:7">
      <c r="A6" s="63" t="s">
        <v>71</v>
      </c>
      <c r="B6" s="60"/>
      <c r="C6" s="71"/>
      <c r="D6" s="47"/>
    </row>
    <row r="7" spans="1:7">
      <c r="A7" s="61" t="s">
        <v>4</v>
      </c>
      <c r="B7" s="60" t="s">
        <v>68</v>
      </c>
      <c r="C7" s="71">
        <f>C10+C11+C12+C13+C14+C15+C16+C17+C18+C19+C20+C21+C22+C24+C25+C26+C27+C28+C30+C31+C32+C33+C34+C35</f>
        <v>312027.93600000005</v>
      </c>
      <c r="D7" s="47"/>
      <c r="G7">
        <v>1284.7</v>
      </c>
    </row>
    <row r="8" spans="1:7">
      <c r="A8" s="59"/>
      <c r="B8" s="58"/>
      <c r="C8" s="57"/>
      <c r="D8" s="47"/>
    </row>
    <row r="9" spans="1:7" ht="44.25" customHeight="1">
      <c r="A9" s="94" t="s">
        <v>22</v>
      </c>
      <c r="B9" s="95"/>
      <c r="C9" s="96"/>
      <c r="D9" s="54"/>
      <c r="G9">
        <v>1284.7</v>
      </c>
    </row>
    <row r="10" spans="1:7">
      <c r="A10" s="53" t="s">
        <v>37</v>
      </c>
      <c r="B10" s="97" t="s">
        <v>70</v>
      </c>
      <c r="C10" s="71">
        <f>D10*G7*12</f>
        <v>1695.8040000000001</v>
      </c>
      <c r="D10" s="51">
        <v>0.11</v>
      </c>
      <c r="G10">
        <v>1284.7</v>
      </c>
    </row>
    <row r="11" spans="1:7">
      <c r="A11" s="53" t="s">
        <v>39</v>
      </c>
      <c r="B11" s="97"/>
      <c r="C11" s="71">
        <f>D11*G7*12</f>
        <v>3545.7720000000008</v>
      </c>
      <c r="D11" s="51">
        <v>0.23</v>
      </c>
      <c r="G11">
        <v>1284.7</v>
      </c>
    </row>
    <row r="12" spans="1:7" ht="26.25">
      <c r="A12" s="53" t="s">
        <v>40</v>
      </c>
      <c r="B12" s="97"/>
      <c r="C12" s="71">
        <f>D12*12*G7</f>
        <v>6937.380000000001</v>
      </c>
      <c r="D12" s="51">
        <v>0.45</v>
      </c>
      <c r="G12">
        <v>1284.7</v>
      </c>
    </row>
    <row r="13" spans="1:7" ht="26.25">
      <c r="A13" s="53" t="s">
        <v>41</v>
      </c>
      <c r="B13" s="97"/>
      <c r="C13" s="71">
        <f>D13*12*G7</f>
        <v>1541.6400000000003</v>
      </c>
      <c r="D13" s="51">
        <v>0.1</v>
      </c>
      <c r="G13">
        <v>1284.7</v>
      </c>
    </row>
    <row r="14" spans="1:7" ht="26.25">
      <c r="A14" s="53" t="s">
        <v>42</v>
      </c>
      <c r="B14" s="97"/>
      <c r="C14" s="71">
        <f>D14*12*G7</f>
        <v>1541.6400000000003</v>
      </c>
      <c r="D14" s="51">
        <v>0.1</v>
      </c>
      <c r="G14">
        <v>1284.7</v>
      </c>
    </row>
    <row r="15" spans="1:7" ht="26.25">
      <c r="A15" s="53" t="s">
        <v>43</v>
      </c>
      <c r="B15" s="97"/>
      <c r="C15" s="71">
        <f>D15*12*G7</f>
        <v>924.98400000000004</v>
      </c>
      <c r="D15" s="51">
        <v>0.06</v>
      </c>
      <c r="G15">
        <v>1284.7</v>
      </c>
    </row>
    <row r="16" spans="1:7" ht="26.25">
      <c r="A16" s="53" t="s">
        <v>44</v>
      </c>
      <c r="B16" s="97"/>
      <c r="C16" s="71">
        <f>D16*12*G7</f>
        <v>14028.924000000001</v>
      </c>
      <c r="D16" s="51">
        <v>0.91</v>
      </c>
      <c r="G16">
        <v>1284.7</v>
      </c>
    </row>
    <row r="17" spans="1:7" ht="26.25">
      <c r="A17" s="53" t="s">
        <v>45</v>
      </c>
      <c r="B17" s="97"/>
      <c r="C17" s="71">
        <f>D17*12*G7</f>
        <v>3237.444</v>
      </c>
      <c r="D17" s="51">
        <v>0.21</v>
      </c>
      <c r="G17">
        <v>1284.7</v>
      </c>
    </row>
    <row r="18" spans="1:7" ht="26.25">
      <c r="A18" s="53" t="s">
        <v>46</v>
      </c>
      <c r="B18" s="97"/>
      <c r="C18" s="71">
        <f>D18*G16*12</f>
        <v>21120.468000000001</v>
      </c>
      <c r="D18" s="51">
        <v>1.37</v>
      </c>
      <c r="G18">
        <v>1284.7</v>
      </c>
    </row>
    <row r="19" spans="1:7" ht="26.25">
      <c r="A19" s="53" t="s">
        <v>47</v>
      </c>
      <c r="B19" s="97"/>
      <c r="C19" s="71">
        <f>D19*G17*12</f>
        <v>616.65600000000006</v>
      </c>
      <c r="D19" s="51">
        <v>0.04</v>
      </c>
      <c r="G19">
        <v>1284.7</v>
      </c>
    </row>
    <row r="20" spans="1:7" ht="90">
      <c r="A20" s="53" t="s">
        <v>69</v>
      </c>
      <c r="B20" s="97"/>
      <c r="C20" s="71">
        <f>D20*G18*12</f>
        <v>10020.66</v>
      </c>
      <c r="D20" s="51">
        <v>0.65</v>
      </c>
      <c r="G20">
        <v>1284.7</v>
      </c>
    </row>
    <row r="21" spans="1:7" ht="51.75">
      <c r="A21" s="53" t="s">
        <v>49</v>
      </c>
      <c r="B21" s="97"/>
      <c r="C21" s="71">
        <f>D21*G19*12</f>
        <v>1849.9679999999998</v>
      </c>
      <c r="D21" s="51">
        <v>0.12</v>
      </c>
      <c r="G21">
        <v>1284.7</v>
      </c>
    </row>
    <row r="22" spans="1:7" ht="39">
      <c r="A22" s="53" t="s">
        <v>50</v>
      </c>
      <c r="B22" s="97"/>
      <c r="C22" s="71">
        <f>D22*G20*12</f>
        <v>3237.4439999999995</v>
      </c>
      <c r="D22" s="51">
        <v>0.21</v>
      </c>
      <c r="G22">
        <v>1284.7</v>
      </c>
    </row>
    <row r="23" spans="1:7" ht="27" customHeight="1">
      <c r="A23" s="99" t="s">
        <v>23</v>
      </c>
      <c r="B23" s="100"/>
      <c r="C23" s="101"/>
      <c r="D23" s="56"/>
      <c r="G23">
        <v>1284.7</v>
      </c>
    </row>
    <row r="24" spans="1:7" ht="26.25">
      <c r="A24" s="53" t="s">
        <v>51</v>
      </c>
      <c r="B24" s="97" t="s">
        <v>52</v>
      </c>
      <c r="C24" s="71">
        <f>D24*G22*12</f>
        <v>10791.48</v>
      </c>
      <c r="D24" s="55">
        <v>0.7</v>
      </c>
      <c r="G24">
        <v>1284.7</v>
      </c>
    </row>
    <row r="25" spans="1:7" ht="39">
      <c r="A25" s="53" t="s">
        <v>53</v>
      </c>
      <c r="B25" s="97"/>
      <c r="C25" s="71">
        <f>D25*G23*12</f>
        <v>7245.7079999999996</v>
      </c>
      <c r="D25" s="55">
        <v>0.47</v>
      </c>
      <c r="G25">
        <v>1284.7</v>
      </c>
    </row>
    <row r="26" spans="1:7" ht="39">
      <c r="A26" s="53" t="s">
        <v>54</v>
      </c>
      <c r="B26" s="97"/>
      <c r="C26" s="71">
        <f>D26*G24*12</f>
        <v>18037.187999999998</v>
      </c>
      <c r="D26" s="55">
        <v>1.17</v>
      </c>
      <c r="G26">
        <v>1284.7</v>
      </c>
    </row>
    <row r="27" spans="1:7" ht="39">
      <c r="A27" s="53" t="s">
        <v>55</v>
      </c>
      <c r="B27" s="97"/>
      <c r="C27" s="71">
        <f>D27*G25*12</f>
        <v>36228.54</v>
      </c>
      <c r="D27" s="55">
        <v>2.35</v>
      </c>
      <c r="G27">
        <v>1284.7</v>
      </c>
    </row>
    <row r="28" spans="1:7" ht="51.75">
      <c r="A28" s="53" t="s">
        <v>56</v>
      </c>
      <c r="B28" s="97"/>
      <c r="C28" s="71">
        <f>D28*G26*12</f>
        <v>17574.696</v>
      </c>
      <c r="D28" s="55">
        <v>1.1399999999999999</v>
      </c>
      <c r="G28">
        <v>1284.7</v>
      </c>
    </row>
    <row r="29" spans="1:7" ht="27.75" customHeight="1">
      <c r="A29" s="94" t="s">
        <v>24</v>
      </c>
      <c r="B29" s="95"/>
      <c r="C29" s="96"/>
      <c r="D29" s="54"/>
      <c r="G29">
        <v>1284.7</v>
      </c>
    </row>
    <row r="30" spans="1:7" ht="26.25">
      <c r="A30" s="53" t="s">
        <v>57</v>
      </c>
      <c r="B30" s="37" t="s">
        <v>58</v>
      </c>
      <c r="C30" s="71">
        <f t="shared" ref="C30:C35" si="0">D30*G28*12</f>
        <v>28366.176000000007</v>
      </c>
      <c r="D30" s="51">
        <v>1.84</v>
      </c>
      <c r="G30">
        <v>1284.7</v>
      </c>
    </row>
    <row r="31" spans="1:7" ht="77.25">
      <c r="A31" s="53" t="s">
        <v>59</v>
      </c>
      <c r="B31" s="37" t="s">
        <v>58</v>
      </c>
      <c r="C31" s="71">
        <f t="shared" si="0"/>
        <v>40236.804000000004</v>
      </c>
      <c r="D31" s="51">
        <v>2.61</v>
      </c>
      <c r="G31">
        <v>1284.7</v>
      </c>
    </row>
    <row r="32" spans="1:7" ht="26.25">
      <c r="A32" s="53" t="s">
        <v>60</v>
      </c>
      <c r="B32" s="37" t="s">
        <v>58</v>
      </c>
      <c r="C32" s="71">
        <f t="shared" si="0"/>
        <v>28520.340000000004</v>
      </c>
      <c r="D32" s="51">
        <v>1.85</v>
      </c>
      <c r="G32">
        <v>1284.7</v>
      </c>
    </row>
    <row r="33" spans="1:7" ht="26.25">
      <c r="A33" s="53" t="s">
        <v>61</v>
      </c>
      <c r="B33" s="37" t="s">
        <v>31</v>
      </c>
      <c r="C33" s="71">
        <f t="shared" si="0"/>
        <v>28982.831999999999</v>
      </c>
      <c r="D33" s="51">
        <v>1.88</v>
      </c>
      <c r="G33">
        <v>1284.7</v>
      </c>
    </row>
    <row r="34" spans="1:7" ht="64.5">
      <c r="A34" s="53" t="s">
        <v>62</v>
      </c>
      <c r="B34" s="37" t="s">
        <v>63</v>
      </c>
      <c r="C34" s="71">
        <f t="shared" si="0"/>
        <v>14645.579999999998</v>
      </c>
      <c r="D34" s="51">
        <v>0.95</v>
      </c>
      <c r="G34">
        <v>1284.7</v>
      </c>
    </row>
    <row r="35" spans="1:7" ht="52.5" thickBot="1">
      <c r="A35" s="50" t="s">
        <v>64</v>
      </c>
      <c r="B35" s="49" t="s">
        <v>30</v>
      </c>
      <c r="C35" s="71">
        <f t="shared" si="0"/>
        <v>11099.808000000001</v>
      </c>
      <c r="D35" s="48">
        <v>0.72</v>
      </c>
      <c r="G35">
        <v>1284.7</v>
      </c>
    </row>
    <row r="36" spans="1:7">
      <c r="A36" s="8" t="s">
        <v>13</v>
      </c>
      <c r="B36" s="12" t="s">
        <v>19</v>
      </c>
      <c r="C36" s="71">
        <f>C35+C34+C33+C32+C31+C30+C28+C27+C26+C25+C24+C22+C21+C20+C19+C18+C17+C16+C15+C14+C13+C12+C11+C10</f>
        <v>312027.93600000005</v>
      </c>
      <c r="D36" s="10">
        <f>D35+D34+D33+D32+D31+D30+D29+D28+D27</f>
        <v>13.34</v>
      </c>
      <c r="G36">
        <v>1284.7</v>
      </c>
    </row>
    <row r="37" spans="1:7">
      <c r="A37" s="5" t="s">
        <v>14</v>
      </c>
      <c r="B37" s="12" t="s">
        <v>19</v>
      </c>
      <c r="C37" s="12">
        <f>C5-C36</f>
        <v>0</v>
      </c>
      <c r="D37" s="10">
        <f>D23-D36</f>
        <v>-13.34</v>
      </c>
      <c r="G37">
        <v>1284.7</v>
      </c>
    </row>
    <row r="38" spans="1:7">
      <c r="G38">
        <v>1284.7</v>
      </c>
    </row>
    <row r="39" spans="1:7">
      <c r="G39">
        <v>1284.7</v>
      </c>
    </row>
    <row r="40" spans="1:7">
      <c r="G40">
        <v>1284.7</v>
      </c>
    </row>
    <row r="41" spans="1:7">
      <c r="G41">
        <v>1284.7</v>
      </c>
    </row>
    <row r="42" spans="1:7">
      <c r="G42">
        <v>1284.7</v>
      </c>
    </row>
    <row r="43" spans="1:7">
      <c r="G43">
        <v>1284.7</v>
      </c>
    </row>
    <row r="44" spans="1:7">
      <c r="G44">
        <v>1284.7</v>
      </c>
    </row>
    <row r="45" spans="1:7">
      <c r="G45">
        <v>1284.7</v>
      </c>
    </row>
    <row r="46" spans="1:7">
      <c r="G46">
        <v>1284.7</v>
      </c>
    </row>
    <row r="47" spans="1:7">
      <c r="G47">
        <v>1284.7</v>
      </c>
    </row>
    <row r="48" spans="1:7">
      <c r="G48">
        <v>1284.7</v>
      </c>
    </row>
    <row r="49" spans="7:7">
      <c r="G49">
        <v>1284.7</v>
      </c>
    </row>
    <row r="50" spans="7:7">
      <c r="G50">
        <v>1284.7</v>
      </c>
    </row>
    <row r="51" spans="7:7">
      <c r="G51">
        <v>1284.7</v>
      </c>
    </row>
    <row r="52" spans="7:7">
      <c r="G52">
        <v>1284.7</v>
      </c>
    </row>
    <row r="53" spans="7:7">
      <c r="G53">
        <v>1284.7</v>
      </c>
    </row>
    <row r="54" spans="7:7">
      <c r="G54">
        <v>1284.7</v>
      </c>
    </row>
    <row r="55" spans="7:7">
      <c r="G55">
        <v>1284.7</v>
      </c>
    </row>
    <row r="56" spans="7:7">
      <c r="G56">
        <v>1284.7</v>
      </c>
    </row>
    <row r="57" spans="7:7">
      <c r="G57">
        <v>1284.7</v>
      </c>
    </row>
    <row r="58" spans="7:7">
      <c r="G58">
        <v>1284.7</v>
      </c>
    </row>
    <row r="59" spans="7:7">
      <c r="G59">
        <v>1284.7</v>
      </c>
    </row>
    <row r="60" spans="7:7">
      <c r="G60">
        <v>1284.7</v>
      </c>
    </row>
    <row r="61" spans="7:7">
      <c r="G61">
        <v>1284.7</v>
      </c>
    </row>
    <row r="62" spans="7:7">
      <c r="G62">
        <v>1284.7</v>
      </c>
    </row>
    <row r="63" spans="7:7">
      <c r="G63">
        <v>1284.7</v>
      </c>
    </row>
  </sheetData>
  <mergeCells count="6">
    <mergeCell ref="A23:C23"/>
    <mergeCell ref="B24:B28"/>
    <mergeCell ref="A29:C29"/>
    <mergeCell ref="A2:E2"/>
    <mergeCell ref="A9:C9"/>
    <mergeCell ref="B10:B22"/>
  </mergeCells>
  <phoneticPr fontId="6" type="noConversion"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sheetPr>
    <tabColor theme="0"/>
  </sheetPr>
  <dimension ref="A2:G37"/>
  <sheetViews>
    <sheetView topLeftCell="A27" workbookViewId="0">
      <selection activeCell="C30" sqref="C30:C36"/>
    </sheetView>
  </sheetViews>
  <sheetFormatPr defaultRowHeight="15"/>
  <cols>
    <col min="1" max="1" width="54.140625" customWidth="1"/>
    <col min="2" max="2" width="20.85546875" customWidth="1"/>
    <col min="3" max="3" width="27" customWidth="1"/>
    <col min="4" max="4" width="30.42578125" hidden="1" customWidth="1"/>
    <col min="5" max="6" width="0" hidden="1" customWidth="1"/>
    <col min="7" max="7" width="8.7109375" hidden="1" customWidth="1"/>
  </cols>
  <sheetData>
    <row r="2" spans="1:7">
      <c r="A2" s="98" t="s">
        <v>74</v>
      </c>
      <c r="B2" s="98"/>
      <c r="C2" s="98"/>
      <c r="D2" s="98"/>
      <c r="E2" s="98"/>
    </row>
    <row r="3" spans="1:7" ht="15.75" thickBot="1"/>
    <row r="4" spans="1:7" ht="38.25">
      <c r="A4" s="67" t="s">
        <v>35</v>
      </c>
      <c r="B4" s="65" t="s">
        <v>36</v>
      </c>
      <c r="C4" s="66" t="s">
        <v>73</v>
      </c>
      <c r="D4" s="65" t="s">
        <v>67</v>
      </c>
    </row>
    <row r="5" spans="1:7">
      <c r="A5" s="64" t="s">
        <v>72</v>
      </c>
      <c r="B5" s="60" t="s">
        <v>68</v>
      </c>
      <c r="C5" s="71">
        <f>C10+C11+C12+C13+C14+C15+C16+C17+C18+C19+C20+C21+C22+C24+C25+C26+C27+C28+C30+C31+C32+C33+C34+C35</f>
        <v>311809.34399999998</v>
      </c>
      <c r="D5" s="47"/>
    </row>
    <row r="6" spans="1:7">
      <c r="A6" s="63" t="s">
        <v>71</v>
      </c>
      <c r="B6" s="60"/>
      <c r="C6" s="71"/>
      <c r="D6" s="47"/>
    </row>
    <row r="7" spans="1:7">
      <c r="A7" s="61" t="s">
        <v>4</v>
      </c>
      <c r="B7" s="60" t="s">
        <v>68</v>
      </c>
      <c r="C7" s="71">
        <f>C10+C11+C12+C13+C14+C15+C16+C17+C18+C19+C20+C21+C22+C24+C25+C26+C27+C28+C30+C31+C32+C33+C34+C35</f>
        <v>311809.34399999998</v>
      </c>
      <c r="D7" s="47"/>
      <c r="G7">
        <v>1283.8</v>
      </c>
    </row>
    <row r="8" spans="1:7">
      <c r="A8" s="59"/>
      <c r="B8" s="58"/>
      <c r="C8" s="57"/>
      <c r="D8" s="47"/>
    </row>
    <row r="9" spans="1:7" ht="44.25" customHeight="1">
      <c r="A9" s="94" t="s">
        <v>22</v>
      </c>
      <c r="B9" s="95"/>
      <c r="C9" s="96"/>
      <c r="D9" s="54"/>
      <c r="G9">
        <v>1283.8</v>
      </c>
    </row>
    <row r="10" spans="1:7">
      <c r="A10" s="53" t="s">
        <v>37</v>
      </c>
      <c r="B10" s="97" t="s">
        <v>70</v>
      </c>
      <c r="C10" s="71">
        <f>D10*G7*12</f>
        <v>1694.616</v>
      </c>
      <c r="D10" s="51">
        <v>0.11</v>
      </c>
      <c r="G10">
        <v>1283.8</v>
      </c>
    </row>
    <row r="11" spans="1:7">
      <c r="A11" s="53" t="s">
        <v>39</v>
      </c>
      <c r="B11" s="97"/>
      <c r="C11" s="71">
        <f>D11*G7*12</f>
        <v>3543.288</v>
      </c>
      <c r="D11" s="51">
        <v>0.23</v>
      </c>
      <c r="G11">
        <v>1283.8</v>
      </c>
    </row>
    <row r="12" spans="1:7" ht="26.25">
      <c r="A12" s="53" t="s">
        <v>40</v>
      </c>
      <c r="B12" s="97"/>
      <c r="C12" s="71">
        <f>D12*12*G7</f>
        <v>6932.52</v>
      </c>
      <c r="D12" s="51">
        <v>0.45</v>
      </c>
      <c r="G12">
        <v>1283.8</v>
      </c>
    </row>
    <row r="13" spans="1:7" ht="26.25">
      <c r="A13" s="53" t="s">
        <v>41</v>
      </c>
      <c r="B13" s="97"/>
      <c r="C13" s="71">
        <f>D13*12*G7</f>
        <v>1540.5600000000002</v>
      </c>
      <c r="D13" s="51">
        <v>0.1</v>
      </c>
      <c r="G13">
        <v>1283.8</v>
      </c>
    </row>
    <row r="14" spans="1:7" ht="26.25">
      <c r="A14" s="53" t="s">
        <v>42</v>
      </c>
      <c r="B14" s="97"/>
      <c r="C14" s="71">
        <f>D14*12*G7</f>
        <v>1540.5600000000002</v>
      </c>
      <c r="D14" s="51">
        <v>0.1</v>
      </c>
      <c r="G14">
        <v>1283.8</v>
      </c>
    </row>
    <row r="15" spans="1:7" ht="26.25">
      <c r="A15" s="53" t="s">
        <v>43</v>
      </c>
      <c r="B15" s="97"/>
      <c r="C15" s="71">
        <f>D15*12*G7</f>
        <v>924.3359999999999</v>
      </c>
      <c r="D15" s="51">
        <v>0.06</v>
      </c>
      <c r="G15">
        <v>1283.8</v>
      </c>
    </row>
    <row r="16" spans="1:7" ht="26.25">
      <c r="A16" s="53" t="s">
        <v>44</v>
      </c>
      <c r="B16" s="97"/>
      <c r="C16" s="71">
        <f>D16*12*G7</f>
        <v>14019.096</v>
      </c>
      <c r="D16" s="51">
        <v>0.91</v>
      </c>
      <c r="G16">
        <v>1283.8</v>
      </c>
    </row>
    <row r="17" spans="1:7" ht="26.25">
      <c r="A17" s="53" t="s">
        <v>45</v>
      </c>
      <c r="B17" s="97"/>
      <c r="C17" s="71">
        <f>D17*12*G7</f>
        <v>3235.1759999999999</v>
      </c>
      <c r="D17" s="51">
        <v>0.21</v>
      </c>
      <c r="G17">
        <v>1283.8</v>
      </c>
    </row>
    <row r="18" spans="1:7" ht="26.25">
      <c r="A18" s="53" t="s">
        <v>46</v>
      </c>
      <c r="B18" s="97"/>
      <c r="C18" s="71">
        <f>D18*G16*12</f>
        <v>21105.671999999999</v>
      </c>
      <c r="D18" s="51">
        <v>1.37</v>
      </c>
      <c r="G18">
        <v>1283.8</v>
      </c>
    </row>
    <row r="19" spans="1:7" ht="26.25">
      <c r="A19" s="53" t="s">
        <v>47</v>
      </c>
      <c r="B19" s="97"/>
      <c r="C19" s="71">
        <f>D19*G17*12</f>
        <v>616.22399999999993</v>
      </c>
      <c r="D19" s="51">
        <v>0.04</v>
      </c>
      <c r="G19">
        <v>1283.8</v>
      </c>
    </row>
    <row r="20" spans="1:7" ht="84" customHeight="1">
      <c r="A20" s="53" t="s">
        <v>69</v>
      </c>
      <c r="B20" s="97"/>
      <c r="C20" s="71">
        <f>D20*G18*12</f>
        <v>10013.64</v>
      </c>
      <c r="D20" s="51">
        <v>0.65</v>
      </c>
      <c r="G20">
        <v>1283.8</v>
      </c>
    </row>
    <row r="21" spans="1:7" ht="51.75">
      <c r="A21" s="53" t="s">
        <v>49</v>
      </c>
      <c r="B21" s="97"/>
      <c r="C21" s="71">
        <f>D21*G19*12</f>
        <v>1848.6719999999998</v>
      </c>
      <c r="D21" s="51">
        <v>0.12</v>
      </c>
      <c r="G21">
        <v>1283.8</v>
      </c>
    </row>
    <row r="22" spans="1:7" ht="39">
      <c r="A22" s="53" t="s">
        <v>50</v>
      </c>
      <c r="B22" s="97"/>
      <c r="C22" s="71">
        <f>D22*G20*12</f>
        <v>3235.1759999999995</v>
      </c>
      <c r="D22" s="51">
        <v>0.21</v>
      </c>
      <c r="G22">
        <v>1283.8</v>
      </c>
    </row>
    <row r="23" spans="1:7" ht="27" customHeight="1">
      <c r="A23" s="99" t="s">
        <v>23</v>
      </c>
      <c r="B23" s="100"/>
      <c r="C23" s="101"/>
      <c r="D23" s="56"/>
      <c r="G23">
        <v>1283.8</v>
      </c>
    </row>
    <row r="24" spans="1:7" ht="26.25">
      <c r="A24" s="53" t="s">
        <v>51</v>
      </c>
      <c r="B24" s="97" t="s">
        <v>52</v>
      </c>
      <c r="C24" s="71">
        <f>D24*G22*12</f>
        <v>10783.919999999998</v>
      </c>
      <c r="D24" s="55">
        <v>0.7</v>
      </c>
      <c r="G24">
        <v>1283.8</v>
      </c>
    </row>
    <row r="25" spans="1:7" ht="39">
      <c r="A25" s="53" t="s">
        <v>53</v>
      </c>
      <c r="B25" s="97"/>
      <c r="C25" s="71">
        <f>D25*G23*12</f>
        <v>7240.6319999999996</v>
      </c>
      <c r="D25" s="55">
        <v>0.47</v>
      </c>
      <c r="G25">
        <v>1283.8</v>
      </c>
    </row>
    <row r="26" spans="1:7" ht="39">
      <c r="A26" s="53" t="s">
        <v>54</v>
      </c>
      <c r="B26" s="97"/>
      <c r="C26" s="71">
        <f>D26*G24*12</f>
        <v>18024.551999999996</v>
      </c>
      <c r="D26" s="55">
        <v>1.17</v>
      </c>
      <c r="G26">
        <v>1283.8</v>
      </c>
    </row>
    <row r="27" spans="1:7" ht="39">
      <c r="A27" s="53" t="s">
        <v>55</v>
      </c>
      <c r="B27" s="97"/>
      <c r="C27" s="71">
        <f>D27*G25*12</f>
        <v>36203.159999999996</v>
      </c>
      <c r="D27" s="55">
        <v>2.35</v>
      </c>
      <c r="G27">
        <v>1283.8</v>
      </c>
    </row>
    <row r="28" spans="1:7" ht="51.75">
      <c r="A28" s="53" t="s">
        <v>56</v>
      </c>
      <c r="B28" s="97"/>
      <c r="C28" s="71">
        <f>D28*G26*12</f>
        <v>17562.383999999998</v>
      </c>
      <c r="D28" s="55">
        <v>1.1399999999999999</v>
      </c>
      <c r="G28">
        <v>1283.8</v>
      </c>
    </row>
    <row r="29" spans="1:7" ht="27.75" customHeight="1">
      <c r="A29" s="94" t="s">
        <v>24</v>
      </c>
      <c r="B29" s="95"/>
      <c r="C29" s="96"/>
      <c r="D29" s="54"/>
      <c r="G29">
        <v>1283.8</v>
      </c>
    </row>
    <row r="30" spans="1:7" ht="26.25">
      <c r="A30" s="53" t="s">
        <v>57</v>
      </c>
      <c r="B30" s="37" t="s">
        <v>58</v>
      </c>
      <c r="C30" s="71">
        <f t="shared" ref="C30:C35" si="0">D30*G28*12</f>
        <v>28346.304</v>
      </c>
      <c r="D30" s="51">
        <v>1.84</v>
      </c>
      <c r="G30">
        <v>1283.8</v>
      </c>
    </row>
    <row r="31" spans="1:7" ht="77.25">
      <c r="A31" s="53" t="s">
        <v>59</v>
      </c>
      <c r="B31" s="37" t="s">
        <v>58</v>
      </c>
      <c r="C31" s="71">
        <f t="shared" si="0"/>
        <v>40208.615999999995</v>
      </c>
      <c r="D31" s="51">
        <v>2.61</v>
      </c>
      <c r="G31">
        <v>1283.8</v>
      </c>
    </row>
    <row r="32" spans="1:7" ht="26.25">
      <c r="A32" s="53" t="s">
        <v>60</v>
      </c>
      <c r="B32" s="37" t="s">
        <v>58</v>
      </c>
      <c r="C32" s="71">
        <f t="shared" si="0"/>
        <v>28500.36</v>
      </c>
      <c r="D32" s="51">
        <v>1.85</v>
      </c>
      <c r="G32">
        <v>1283.8</v>
      </c>
    </row>
    <row r="33" spans="1:7" ht="26.25">
      <c r="A33" s="53" t="s">
        <v>61</v>
      </c>
      <c r="B33" s="37" t="s">
        <v>31</v>
      </c>
      <c r="C33" s="71">
        <f t="shared" si="0"/>
        <v>28962.527999999998</v>
      </c>
      <c r="D33" s="51">
        <v>1.88</v>
      </c>
      <c r="G33">
        <v>1283.8</v>
      </c>
    </row>
    <row r="34" spans="1:7" ht="64.5">
      <c r="A34" s="53" t="s">
        <v>62</v>
      </c>
      <c r="B34" s="37" t="s">
        <v>63</v>
      </c>
      <c r="C34" s="71">
        <f t="shared" si="0"/>
        <v>14635.32</v>
      </c>
      <c r="D34" s="51">
        <v>0.95</v>
      </c>
      <c r="G34">
        <v>1283.8</v>
      </c>
    </row>
    <row r="35" spans="1:7" ht="52.5" thickBot="1">
      <c r="A35" s="50" t="s">
        <v>64</v>
      </c>
      <c r="B35" s="49" t="s">
        <v>30</v>
      </c>
      <c r="C35" s="71">
        <f t="shared" si="0"/>
        <v>11092.031999999999</v>
      </c>
      <c r="D35" s="48">
        <v>0.72</v>
      </c>
      <c r="G35">
        <v>1283.8</v>
      </c>
    </row>
    <row r="36" spans="1:7">
      <c r="A36" s="8" t="s">
        <v>13</v>
      </c>
      <c r="B36" s="12" t="s">
        <v>19</v>
      </c>
      <c r="C36" s="71">
        <f>C35+C34+C33+C32+C31+C30+C28+C27+C26+C25+C24+C22+C21+C20+C19+C18+C17+C16+C15+C14+C13+C12+C11+C10</f>
        <v>311809.34399999998</v>
      </c>
      <c r="D36" s="10">
        <f>D35+D34+D33+D32+D31+D30+D29+D28+D27</f>
        <v>13.34</v>
      </c>
      <c r="G36">
        <v>1283.8</v>
      </c>
    </row>
    <row r="37" spans="1:7">
      <c r="A37" s="5" t="s">
        <v>14</v>
      </c>
      <c r="B37" s="12" t="s">
        <v>19</v>
      </c>
      <c r="C37" s="12">
        <f>C5-C36</f>
        <v>0</v>
      </c>
      <c r="D37" s="10">
        <f>D23-D36</f>
        <v>-13.34</v>
      </c>
      <c r="G37">
        <v>1283.8</v>
      </c>
    </row>
  </sheetData>
  <mergeCells count="6">
    <mergeCell ref="A23:C23"/>
    <mergeCell ref="B24:B28"/>
    <mergeCell ref="A29:C29"/>
    <mergeCell ref="A2:E2"/>
    <mergeCell ref="A9:C9"/>
    <mergeCell ref="B10:B22"/>
  </mergeCells>
  <phoneticPr fontId="6" type="noConversion"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sheetPr>
    <tabColor theme="0"/>
  </sheetPr>
  <dimension ref="A2:G37"/>
  <sheetViews>
    <sheetView topLeftCell="A28" workbookViewId="0">
      <selection activeCell="C30" sqref="C30:C36"/>
    </sheetView>
  </sheetViews>
  <sheetFormatPr defaultRowHeight="15"/>
  <cols>
    <col min="1" max="1" width="54.140625" customWidth="1"/>
    <col min="2" max="2" width="20.85546875" customWidth="1"/>
    <col min="3" max="3" width="20.5703125" customWidth="1"/>
    <col min="4" max="4" width="30.42578125" hidden="1" customWidth="1"/>
    <col min="5" max="6" width="0" hidden="1" customWidth="1"/>
    <col min="7" max="7" width="7.5703125" hidden="1" customWidth="1"/>
  </cols>
  <sheetData>
    <row r="2" spans="1:7">
      <c r="A2" s="98" t="s">
        <v>74</v>
      </c>
      <c r="B2" s="98"/>
      <c r="C2" s="98"/>
      <c r="D2" s="98"/>
      <c r="E2" s="98"/>
    </row>
    <row r="3" spans="1:7" ht="15.75" thickBot="1"/>
    <row r="4" spans="1:7" ht="38.25">
      <c r="A4" s="67" t="s">
        <v>35</v>
      </c>
      <c r="B4" s="65" t="s">
        <v>36</v>
      </c>
      <c r="C4" s="66" t="s">
        <v>73</v>
      </c>
      <c r="D4" s="65" t="s">
        <v>67</v>
      </c>
    </row>
    <row r="5" spans="1:7">
      <c r="A5" s="64" t="s">
        <v>72</v>
      </c>
      <c r="B5" s="60" t="s">
        <v>68</v>
      </c>
      <c r="C5" s="71">
        <f>C10+C11+C12+C13+C14+C15+C16+C17+C18+C19+C20+C21+C22+C24+C25+C26+C27+C28+C30+C31+C32+C33+C34+C35</f>
        <v>311323.58399999997</v>
      </c>
      <c r="D5" s="47"/>
    </row>
    <row r="6" spans="1:7">
      <c r="A6" s="63" t="s">
        <v>71</v>
      </c>
      <c r="B6" s="60"/>
      <c r="C6" s="62"/>
      <c r="D6" s="47"/>
    </row>
    <row r="7" spans="1:7">
      <c r="A7" s="61" t="s">
        <v>4</v>
      </c>
      <c r="B7" s="60" t="s">
        <v>68</v>
      </c>
      <c r="C7" s="71">
        <f>C10+C11+C12+C13+C14+C15+C16+C17+C18+C19+C20+C21+C22+C24+C25+C26+C27+C28+C30+C31+C32+C33+C34+C35</f>
        <v>311323.58399999997</v>
      </c>
      <c r="D7" s="47"/>
      <c r="G7">
        <v>1281.8</v>
      </c>
    </row>
    <row r="8" spans="1:7">
      <c r="A8" s="59"/>
      <c r="B8" s="58"/>
      <c r="C8" s="57"/>
      <c r="D8" s="47"/>
    </row>
    <row r="9" spans="1:7" ht="44.25" customHeight="1">
      <c r="A9" s="94" t="s">
        <v>22</v>
      </c>
      <c r="B9" s="95"/>
      <c r="C9" s="96"/>
      <c r="D9" s="54"/>
      <c r="G9">
        <v>1281.8</v>
      </c>
    </row>
    <row r="10" spans="1:7">
      <c r="A10" s="53" t="s">
        <v>37</v>
      </c>
      <c r="B10" s="97" t="s">
        <v>70</v>
      </c>
      <c r="C10" s="71">
        <f>D10*G7*12</f>
        <v>1691.9759999999999</v>
      </c>
      <c r="D10" s="51">
        <v>0.11</v>
      </c>
      <c r="G10">
        <v>1281.8</v>
      </c>
    </row>
    <row r="11" spans="1:7">
      <c r="A11" s="53" t="s">
        <v>39</v>
      </c>
      <c r="B11" s="97"/>
      <c r="C11" s="71">
        <f>D11*G7*12</f>
        <v>3537.768</v>
      </c>
      <c r="D11" s="51">
        <v>0.23</v>
      </c>
      <c r="G11">
        <v>1281.8</v>
      </c>
    </row>
    <row r="12" spans="1:7" ht="26.25">
      <c r="A12" s="53" t="s">
        <v>40</v>
      </c>
      <c r="B12" s="97"/>
      <c r="C12" s="71">
        <f>D12*12*G7</f>
        <v>6921.72</v>
      </c>
      <c r="D12" s="51">
        <v>0.45</v>
      </c>
      <c r="G12">
        <v>1281.8</v>
      </c>
    </row>
    <row r="13" spans="1:7" ht="26.25">
      <c r="A13" s="53" t="s">
        <v>41</v>
      </c>
      <c r="B13" s="97"/>
      <c r="C13" s="71">
        <f>D13*12*G7</f>
        <v>1538.16</v>
      </c>
      <c r="D13" s="51">
        <v>0.1</v>
      </c>
      <c r="G13">
        <v>1281.8</v>
      </c>
    </row>
    <row r="14" spans="1:7" ht="26.25">
      <c r="A14" s="53" t="s">
        <v>42</v>
      </c>
      <c r="B14" s="97"/>
      <c r="C14" s="71">
        <f>D14*12*G7</f>
        <v>1538.16</v>
      </c>
      <c r="D14" s="51">
        <v>0.1</v>
      </c>
      <c r="G14">
        <v>1281.8</v>
      </c>
    </row>
    <row r="15" spans="1:7" ht="26.25">
      <c r="A15" s="53" t="s">
        <v>43</v>
      </c>
      <c r="B15" s="97"/>
      <c r="C15" s="71">
        <f>D15*12*G7</f>
        <v>922.89599999999996</v>
      </c>
      <c r="D15" s="51">
        <v>0.06</v>
      </c>
      <c r="G15">
        <v>1281.8</v>
      </c>
    </row>
    <row r="16" spans="1:7" ht="26.25">
      <c r="A16" s="53" t="s">
        <v>44</v>
      </c>
      <c r="B16" s="97"/>
      <c r="C16" s="71">
        <f>D16*12*G7</f>
        <v>13997.255999999999</v>
      </c>
      <c r="D16" s="51">
        <v>0.91</v>
      </c>
      <c r="G16">
        <v>1281.8</v>
      </c>
    </row>
    <row r="17" spans="1:7" ht="26.25">
      <c r="A17" s="53" t="s">
        <v>45</v>
      </c>
      <c r="B17" s="97"/>
      <c r="C17" s="71">
        <f>D17*12*G7</f>
        <v>3230.136</v>
      </c>
      <c r="D17" s="51">
        <v>0.21</v>
      </c>
      <c r="G17">
        <v>1281.8</v>
      </c>
    </row>
    <row r="18" spans="1:7" ht="26.25">
      <c r="A18" s="53" t="s">
        <v>46</v>
      </c>
      <c r="B18" s="97"/>
      <c r="C18" s="71">
        <f>D18*G16*12</f>
        <v>21072.792000000001</v>
      </c>
      <c r="D18" s="51">
        <v>1.37</v>
      </c>
      <c r="G18">
        <v>1281.8</v>
      </c>
    </row>
    <row r="19" spans="1:7" ht="26.25">
      <c r="A19" s="53" t="s">
        <v>47</v>
      </c>
      <c r="B19" s="97"/>
      <c r="C19" s="71">
        <f>D19*G17*12</f>
        <v>615.26400000000001</v>
      </c>
      <c r="D19" s="51">
        <v>0.04</v>
      </c>
      <c r="G19">
        <v>1281.8</v>
      </c>
    </row>
    <row r="20" spans="1:7" ht="90">
      <c r="A20" s="53" t="s">
        <v>69</v>
      </c>
      <c r="B20" s="97"/>
      <c r="C20" s="71">
        <f>D20*G18*12</f>
        <v>9998.0399999999991</v>
      </c>
      <c r="D20" s="51">
        <v>0.65</v>
      </c>
      <c r="G20">
        <v>1281.8</v>
      </c>
    </row>
    <row r="21" spans="1:7" ht="51.75">
      <c r="A21" s="53" t="s">
        <v>49</v>
      </c>
      <c r="B21" s="97"/>
      <c r="C21" s="71">
        <f>D21*G19*12</f>
        <v>1845.7919999999999</v>
      </c>
      <c r="D21" s="51">
        <v>0.12</v>
      </c>
      <c r="G21">
        <v>1281.8</v>
      </c>
    </row>
    <row r="22" spans="1:7" ht="39">
      <c r="A22" s="53" t="s">
        <v>50</v>
      </c>
      <c r="B22" s="97"/>
      <c r="C22" s="71">
        <f>D22*G20*12</f>
        <v>3230.136</v>
      </c>
      <c r="D22" s="51">
        <v>0.21</v>
      </c>
      <c r="G22">
        <v>1281.8</v>
      </c>
    </row>
    <row r="23" spans="1:7" ht="27" customHeight="1">
      <c r="A23" s="99" t="s">
        <v>23</v>
      </c>
      <c r="B23" s="100"/>
      <c r="C23" s="101"/>
      <c r="D23" s="56"/>
      <c r="G23">
        <v>1281.8</v>
      </c>
    </row>
    <row r="24" spans="1:7" ht="26.25">
      <c r="A24" s="53" t="s">
        <v>51</v>
      </c>
      <c r="B24" s="97" t="s">
        <v>52</v>
      </c>
      <c r="C24" s="71">
        <f>D24*G22*12</f>
        <v>10767.119999999999</v>
      </c>
      <c r="D24" s="55">
        <v>0.7</v>
      </c>
      <c r="G24">
        <v>1281.8</v>
      </c>
    </row>
    <row r="25" spans="1:7" ht="39">
      <c r="A25" s="53" t="s">
        <v>53</v>
      </c>
      <c r="B25" s="97"/>
      <c r="C25" s="71">
        <f>D25*G23*12</f>
        <v>7229.351999999999</v>
      </c>
      <c r="D25" s="55">
        <v>0.47</v>
      </c>
      <c r="G25">
        <v>1281.8</v>
      </c>
    </row>
    <row r="26" spans="1:7" ht="39">
      <c r="A26" s="53" t="s">
        <v>54</v>
      </c>
      <c r="B26" s="97"/>
      <c r="C26" s="71">
        <f>D26*G24*12</f>
        <v>17996.471999999998</v>
      </c>
      <c r="D26" s="55">
        <v>1.17</v>
      </c>
      <c r="G26">
        <v>1281.8</v>
      </c>
    </row>
    <row r="27" spans="1:7" ht="39">
      <c r="A27" s="53" t="s">
        <v>55</v>
      </c>
      <c r="B27" s="97"/>
      <c r="C27" s="71">
        <f>D27*G25*12</f>
        <v>36146.76</v>
      </c>
      <c r="D27" s="55">
        <v>2.35</v>
      </c>
      <c r="G27">
        <v>1281.8</v>
      </c>
    </row>
    <row r="28" spans="1:7" ht="51.75">
      <c r="A28" s="53" t="s">
        <v>56</v>
      </c>
      <c r="B28" s="97"/>
      <c r="C28" s="71">
        <f>D28*G26*12</f>
        <v>17535.023999999998</v>
      </c>
      <c r="D28" s="55">
        <v>1.1399999999999999</v>
      </c>
      <c r="G28">
        <v>1281.8</v>
      </c>
    </row>
    <row r="29" spans="1:7" ht="27.75" customHeight="1">
      <c r="A29" s="94" t="s">
        <v>24</v>
      </c>
      <c r="B29" s="95"/>
      <c r="C29" s="96"/>
      <c r="D29" s="54"/>
      <c r="G29">
        <v>1281.8</v>
      </c>
    </row>
    <row r="30" spans="1:7" ht="26.25">
      <c r="A30" s="53" t="s">
        <v>57</v>
      </c>
      <c r="B30" s="37" t="s">
        <v>58</v>
      </c>
      <c r="C30" s="71">
        <f t="shared" ref="C30:C35" si="0">D30*G28*12</f>
        <v>28302.144</v>
      </c>
      <c r="D30" s="51">
        <v>1.84</v>
      </c>
      <c r="G30">
        <v>1281.8</v>
      </c>
    </row>
    <row r="31" spans="1:7" ht="77.25">
      <c r="A31" s="53" t="s">
        <v>59</v>
      </c>
      <c r="B31" s="37" t="s">
        <v>58</v>
      </c>
      <c r="C31" s="71">
        <f t="shared" si="0"/>
        <v>40145.975999999995</v>
      </c>
      <c r="D31" s="51">
        <v>2.61</v>
      </c>
      <c r="G31">
        <v>1281.8</v>
      </c>
    </row>
    <row r="32" spans="1:7" ht="26.25">
      <c r="A32" s="53" t="s">
        <v>60</v>
      </c>
      <c r="B32" s="37" t="s">
        <v>58</v>
      </c>
      <c r="C32" s="71">
        <f t="shared" si="0"/>
        <v>28455.96</v>
      </c>
      <c r="D32" s="51">
        <v>1.85</v>
      </c>
      <c r="G32">
        <v>1281.8</v>
      </c>
    </row>
    <row r="33" spans="1:7" ht="26.25">
      <c r="A33" s="53" t="s">
        <v>61</v>
      </c>
      <c r="B33" s="37" t="s">
        <v>31</v>
      </c>
      <c r="C33" s="71">
        <f t="shared" si="0"/>
        <v>28917.407999999996</v>
      </c>
      <c r="D33" s="51">
        <v>1.88</v>
      </c>
      <c r="G33">
        <v>1281.8</v>
      </c>
    </row>
    <row r="34" spans="1:7" ht="64.5">
      <c r="A34" s="53" t="s">
        <v>62</v>
      </c>
      <c r="B34" s="37" t="s">
        <v>63</v>
      </c>
      <c r="C34" s="71">
        <f t="shared" si="0"/>
        <v>14612.519999999997</v>
      </c>
      <c r="D34" s="51">
        <v>0.95</v>
      </c>
      <c r="G34">
        <v>1281.8</v>
      </c>
    </row>
    <row r="35" spans="1:7" ht="52.5" thickBot="1">
      <c r="A35" s="50" t="s">
        <v>64</v>
      </c>
      <c r="B35" s="49" t="s">
        <v>30</v>
      </c>
      <c r="C35" s="71">
        <f t="shared" si="0"/>
        <v>11074.752</v>
      </c>
      <c r="D35" s="48">
        <v>0.72</v>
      </c>
      <c r="G35">
        <v>1281.8</v>
      </c>
    </row>
    <row r="36" spans="1:7">
      <c r="A36" s="8" t="s">
        <v>13</v>
      </c>
      <c r="B36" s="12" t="s">
        <v>19</v>
      </c>
      <c r="C36" s="71">
        <f>C35+C34+C33+C32+C31+C30+C28+C27+C26+C25+C24+C22+C21+C20+C19+C18+C17+C16+C15+C14+C13+C12+C11+C10</f>
        <v>311323.58399999992</v>
      </c>
      <c r="D36" s="10">
        <f>D35+D34+D33+D32+D31+D30+D29+D28+D27</f>
        <v>13.34</v>
      </c>
      <c r="G36">
        <v>1281.8</v>
      </c>
    </row>
    <row r="37" spans="1:7">
      <c r="A37" s="5" t="s">
        <v>14</v>
      </c>
      <c r="B37" s="12" t="s">
        <v>19</v>
      </c>
      <c r="C37" s="12">
        <f>C5-C36</f>
        <v>0</v>
      </c>
      <c r="D37" s="10">
        <f>D23-D36</f>
        <v>-13.34</v>
      </c>
      <c r="G37">
        <v>1281.8</v>
      </c>
    </row>
  </sheetData>
  <mergeCells count="6">
    <mergeCell ref="A23:C23"/>
    <mergeCell ref="B24:B28"/>
    <mergeCell ref="A29:C29"/>
    <mergeCell ref="A2:E2"/>
    <mergeCell ref="A9:C9"/>
    <mergeCell ref="B10:B22"/>
  </mergeCells>
  <phoneticPr fontId="6" type="noConversion"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sheetPr>
    <tabColor theme="0"/>
  </sheetPr>
  <dimension ref="A2:G68"/>
  <sheetViews>
    <sheetView topLeftCell="A34" workbookViewId="0">
      <selection activeCell="C36" sqref="C36"/>
    </sheetView>
  </sheetViews>
  <sheetFormatPr defaultRowHeight="15"/>
  <cols>
    <col min="1" max="1" width="54.140625" customWidth="1"/>
    <col min="2" max="2" width="20.85546875" customWidth="1"/>
    <col min="3" max="3" width="22" customWidth="1"/>
    <col min="4" max="4" width="30.42578125" hidden="1" customWidth="1"/>
    <col min="5" max="6" width="0" hidden="1" customWidth="1"/>
    <col min="7" max="7" width="9.28515625" hidden="1" customWidth="1"/>
  </cols>
  <sheetData>
    <row r="2" spans="1:7">
      <c r="A2" s="98" t="s">
        <v>74</v>
      </c>
      <c r="B2" s="98"/>
      <c r="C2" s="98"/>
      <c r="D2" s="98"/>
      <c r="E2" s="98"/>
    </row>
    <row r="3" spans="1:7" ht="15.75" thickBot="1"/>
    <row r="4" spans="1:7" ht="38.25">
      <c r="A4" s="67" t="s">
        <v>35</v>
      </c>
      <c r="B4" s="65" t="s">
        <v>36</v>
      </c>
      <c r="C4" s="66" t="s">
        <v>73</v>
      </c>
      <c r="D4" s="65" t="s">
        <v>67</v>
      </c>
    </row>
    <row r="5" spans="1:7">
      <c r="A5" s="64" t="s">
        <v>72</v>
      </c>
      <c r="B5" s="60" t="s">
        <v>68</v>
      </c>
      <c r="C5" s="71">
        <f>C10+C11+C12+C13+C14+C15+C16+C17+C18+C19+C20+C21+C22+C24+C25+C26+C27+C28+C30+C31+C32+C33+C34+C35</f>
        <v>310206.33600000001</v>
      </c>
      <c r="D5" s="47"/>
    </row>
    <row r="6" spans="1:7">
      <c r="A6" s="63" t="s">
        <v>71</v>
      </c>
      <c r="B6" s="60"/>
      <c r="C6" s="71"/>
      <c r="D6" s="47"/>
    </row>
    <row r="7" spans="1:7">
      <c r="A7" s="61" t="s">
        <v>4</v>
      </c>
      <c r="B7" s="60" t="s">
        <v>68</v>
      </c>
      <c r="C7" s="71">
        <f>C10+C11+C12+C13+C14+C15+C16+C17+C18+C19+C20+C21+C22+C24+C25+C26+C27+C28+C30+C31+C32+C33+C34+C35</f>
        <v>310206.33600000001</v>
      </c>
      <c r="D7" s="47"/>
      <c r="G7">
        <v>1277.2</v>
      </c>
    </row>
    <row r="8" spans="1:7">
      <c r="A8" s="59"/>
      <c r="B8" s="58"/>
      <c r="C8" s="57"/>
      <c r="D8" s="47"/>
    </row>
    <row r="9" spans="1:7" ht="44.25" customHeight="1">
      <c r="A9" s="94" t="s">
        <v>22</v>
      </c>
      <c r="B9" s="95"/>
      <c r="C9" s="96"/>
      <c r="D9" s="54"/>
      <c r="G9">
        <v>1277.2</v>
      </c>
    </row>
    <row r="10" spans="1:7">
      <c r="A10" s="53" t="s">
        <v>37</v>
      </c>
      <c r="B10" s="97" t="s">
        <v>70</v>
      </c>
      <c r="C10" s="71">
        <f>D10*G7*12</f>
        <v>1685.9040000000002</v>
      </c>
      <c r="D10" s="51">
        <v>0.11</v>
      </c>
      <c r="G10">
        <v>1277.2</v>
      </c>
    </row>
    <row r="11" spans="1:7">
      <c r="A11" s="53" t="s">
        <v>39</v>
      </c>
      <c r="B11" s="97"/>
      <c r="C11" s="71">
        <f>D11*G7*12</f>
        <v>3525.0720000000001</v>
      </c>
      <c r="D11" s="51">
        <v>0.23</v>
      </c>
      <c r="G11">
        <v>1277.2</v>
      </c>
    </row>
    <row r="12" spans="1:7" ht="26.25">
      <c r="A12" s="53" t="s">
        <v>40</v>
      </c>
      <c r="B12" s="97"/>
      <c r="C12" s="71">
        <f>D12*12*G7</f>
        <v>6896.880000000001</v>
      </c>
      <c r="D12" s="51">
        <v>0.45</v>
      </c>
      <c r="G12">
        <v>1277.2</v>
      </c>
    </row>
    <row r="13" spans="1:7" ht="26.25">
      <c r="A13" s="53" t="s">
        <v>41</v>
      </c>
      <c r="B13" s="97"/>
      <c r="C13" s="71">
        <f>D13*12*G7</f>
        <v>1532.6400000000003</v>
      </c>
      <c r="D13" s="51">
        <v>0.1</v>
      </c>
      <c r="G13">
        <v>1277.2</v>
      </c>
    </row>
    <row r="14" spans="1:7" ht="26.25">
      <c r="A14" s="53" t="s">
        <v>42</v>
      </c>
      <c r="B14" s="97"/>
      <c r="C14" s="71">
        <f>D14*12*G7</f>
        <v>1532.6400000000003</v>
      </c>
      <c r="D14" s="51">
        <v>0.1</v>
      </c>
      <c r="G14">
        <v>1277.2</v>
      </c>
    </row>
    <row r="15" spans="1:7" ht="26.25">
      <c r="A15" s="53" t="s">
        <v>43</v>
      </c>
      <c r="B15" s="97"/>
      <c r="C15" s="71">
        <f>D15*12*G7</f>
        <v>919.58399999999995</v>
      </c>
      <c r="D15" s="51">
        <v>0.06</v>
      </c>
      <c r="G15">
        <v>1277.2</v>
      </c>
    </row>
    <row r="16" spans="1:7" ht="26.25">
      <c r="A16" s="53" t="s">
        <v>44</v>
      </c>
      <c r="B16" s="97"/>
      <c r="C16" s="71">
        <f>D16*12*G7</f>
        <v>13947.024000000001</v>
      </c>
      <c r="D16" s="51">
        <v>0.91</v>
      </c>
      <c r="G16">
        <v>1277.2</v>
      </c>
    </row>
    <row r="17" spans="1:7" ht="26.25">
      <c r="A17" s="53" t="s">
        <v>45</v>
      </c>
      <c r="B17" s="97"/>
      <c r="C17" s="71">
        <f>D17*12*G7</f>
        <v>3218.5440000000003</v>
      </c>
      <c r="D17" s="51">
        <v>0.21</v>
      </c>
      <c r="G17">
        <v>1277.2</v>
      </c>
    </row>
    <row r="18" spans="1:7" ht="26.25">
      <c r="A18" s="53" t="s">
        <v>46</v>
      </c>
      <c r="B18" s="97"/>
      <c r="C18" s="71">
        <f>D18*G16*12</f>
        <v>20997.168000000001</v>
      </c>
      <c r="D18" s="51">
        <v>1.37</v>
      </c>
      <c r="G18">
        <v>1277.2</v>
      </c>
    </row>
    <row r="19" spans="1:7" ht="26.25">
      <c r="A19" s="53" t="s">
        <v>47</v>
      </c>
      <c r="B19" s="97"/>
      <c r="C19" s="71">
        <f>D19*G17*12</f>
        <v>613.05600000000004</v>
      </c>
      <c r="D19" s="51">
        <v>0.04</v>
      </c>
      <c r="G19">
        <v>1277.2</v>
      </c>
    </row>
    <row r="20" spans="1:7" ht="90">
      <c r="A20" s="53" t="s">
        <v>69</v>
      </c>
      <c r="B20" s="97"/>
      <c r="C20" s="71">
        <f>D20*G18*12</f>
        <v>9962.16</v>
      </c>
      <c r="D20" s="51">
        <v>0.65</v>
      </c>
      <c r="G20">
        <v>1277.2</v>
      </c>
    </row>
    <row r="21" spans="1:7" ht="51.75">
      <c r="A21" s="53" t="s">
        <v>49</v>
      </c>
      <c r="B21" s="97"/>
      <c r="C21" s="71">
        <f>D21*G19*12</f>
        <v>1839.1680000000001</v>
      </c>
      <c r="D21" s="51">
        <v>0.12</v>
      </c>
      <c r="G21">
        <v>1277.2</v>
      </c>
    </row>
    <row r="22" spans="1:7" ht="39">
      <c r="A22" s="53" t="s">
        <v>50</v>
      </c>
      <c r="B22" s="97"/>
      <c r="C22" s="71">
        <f>D22*G20*12</f>
        <v>3218.5439999999999</v>
      </c>
      <c r="D22" s="51">
        <v>0.21</v>
      </c>
      <c r="G22">
        <v>1277.2</v>
      </c>
    </row>
    <row r="23" spans="1:7" ht="27" customHeight="1">
      <c r="A23" s="99" t="s">
        <v>23</v>
      </c>
      <c r="B23" s="100"/>
      <c r="C23" s="101"/>
      <c r="D23" s="56"/>
      <c r="G23">
        <v>1277.2</v>
      </c>
    </row>
    <row r="24" spans="1:7" ht="26.25">
      <c r="A24" s="53" t="s">
        <v>51</v>
      </c>
      <c r="B24" s="97" t="s">
        <v>52</v>
      </c>
      <c r="C24" s="71">
        <f>D24*G22*12</f>
        <v>10728.48</v>
      </c>
      <c r="D24" s="55">
        <v>0.7</v>
      </c>
      <c r="G24">
        <v>1277.2</v>
      </c>
    </row>
    <row r="25" spans="1:7" ht="39">
      <c r="A25" s="53" t="s">
        <v>53</v>
      </c>
      <c r="B25" s="97"/>
      <c r="C25" s="71">
        <f>D25*G23*12</f>
        <v>7203.4079999999994</v>
      </c>
      <c r="D25" s="55">
        <v>0.47</v>
      </c>
      <c r="G25">
        <v>1277.2</v>
      </c>
    </row>
    <row r="26" spans="1:7" ht="39">
      <c r="A26" s="53" t="s">
        <v>54</v>
      </c>
      <c r="B26" s="97"/>
      <c r="C26" s="71">
        <f>D26*G24*12</f>
        <v>17931.887999999999</v>
      </c>
      <c r="D26" s="55">
        <v>1.17</v>
      </c>
      <c r="G26">
        <v>1277.2</v>
      </c>
    </row>
    <row r="27" spans="1:7" ht="39">
      <c r="A27" s="53" t="s">
        <v>55</v>
      </c>
      <c r="B27" s="97"/>
      <c r="C27" s="71">
        <f>D27*G25*12</f>
        <v>36017.040000000001</v>
      </c>
      <c r="D27" s="55">
        <v>2.35</v>
      </c>
      <c r="G27">
        <v>1277.2</v>
      </c>
    </row>
    <row r="28" spans="1:7" ht="51.75">
      <c r="A28" s="53" t="s">
        <v>56</v>
      </c>
      <c r="B28" s="97"/>
      <c r="C28" s="71">
        <f>D28*G26*12</f>
        <v>17472.096000000001</v>
      </c>
      <c r="D28" s="55">
        <v>1.1399999999999999</v>
      </c>
      <c r="G28">
        <v>1277.2</v>
      </c>
    </row>
    <row r="29" spans="1:7" ht="27.75" customHeight="1">
      <c r="A29" s="94" t="s">
        <v>24</v>
      </c>
      <c r="B29" s="95"/>
      <c r="C29" s="96"/>
      <c r="D29" s="54"/>
      <c r="G29">
        <v>1277.2</v>
      </c>
    </row>
    <row r="30" spans="1:7" ht="26.25">
      <c r="A30" s="53" t="s">
        <v>57</v>
      </c>
      <c r="B30" s="37" t="s">
        <v>58</v>
      </c>
      <c r="C30" s="71">
        <f t="shared" ref="C30:C35" si="0">D30*G28*12</f>
        <v>28200.576000000001</v>
      </c>
      <c r="D30" s="51">
        <v>1.84</v>
      </c>
      <c r="G30">
        <v>1277.2</v>
      </c>
    </row>
    <row r="31" spans="1:7" ht="77.25">
      <c r="A31" s="53" t="s">
        <v>59</v>
      </c>
      <c r="B31" s="37" t="s">
        <v>58</v>
      </c>
      <c r="C31" s="71">
        <f t="shared" si="0"/>
        <v>40001.903999999995</v>
      </c>
      <c r="D31" s="51">
        <v>2.61</v>
      </c>
      <c r="G31">
        <v>1277.2</v>
      </c>
    </row>
    <row r="32" spans="1:7" ht="26.25">
      <c r="A32" s="53" t="s">
        <v>60</v>
      </c>
      <c r="B32" s="37" t="s">
        <v>58</v>
      </c>
      <c r="C32" s="71">
        <f t="shared" si="0"/>
        <v>28353.840000000004</v>
      </c>
      <c r="D32" s="51">
        <v>1.85</v>
      </c>
      <c r="G32">
        <v>1277.2</v>
      </c>
    </row>
    <row r="33" spans="1:7" ht="26.25">
      <c r="A33" s="53" t="s">
        <v>61</v>
      </c>
      <c r="B33" s="37" t="s">
        <v>31</v>
      </c>
      <c r="C33" s="71">
        <f t="shared" si="0"/>
        <v>28813.631999999998</v>
      </c>
      <c r="D33" s="51">
        <v>1.88</v>
      </c>
      <c r="G33">
        <v>1277.2</v>
      </c>
    </row>
    <row r="34" spans="1:7" ht="64.5">
      <c r="A34" s="53" t="s">
        <v>62</v>
      </c>
      <c r="B34" s="37" t="s">
        <v>63</v>
      </c>
      <c r="C34" s="71">
        <f t="shared" si="0"/>
        <v>14560.079999999998</v>
      </c>
      <c r="D34" s="51">
        <v>0.95</v>
      </c>
      <c r="G34">
        <v>1277.2</v>
      </c>
    </row>
    <row r="35" spans="1:7" ht="52.5" thickBot="1">
      <c r="A35" s="50" t="s">
        <v>64</v>
      </c>
      <c r="B35" s="49" t="s">
        <v>30</v>
      </c>
      <c r="C35" s="71">
        <f t="shared" si="0"/>
        <v>11035.008</v>
      </c>
      <c r="D35" s="48">
        <v>0.72</v>
      </c>
      <c r="G35">
        <v>1277.2</v>
      </c>
    </row>
    <row r="36" spans="1:7">
      <c r="A36" s="8" t="s">
        <v>13</v>
      </c>
      <c r="B36" s="12" t="s">
        <v>19</v>
      </c>
      <c r="C36" s="71">
        <f>C35+C34+C33+C32+C31+C30+C28+C27+C26+C25+C24+C22+C21+C20+C19+C18+C17+C16+C15+C14+C13+C12+C11+C10</f>
        <v>310206.33599999995</v>
      </c>
      <c r="D36" s="10">
        <f>D35+D34+D33+D32+D31+D30+D29+D28+D27</f>
        <v>13.34</v>
      </c>
      <c r="G36">
        <v>1277.2</v>
      </c>
    </row>
    <row r="37" spans="1:7">
      <c r="A37" s="5" t="s">
        <v>14</v>
      </c>
      <c r="B37" s="12" t="s">
        <v>19</v>
      </c>
      <c r="C37" s="12">
        <f>C5-C36</f>
        <v>0</v>
      </c>
      <c r="D37" s="10">
        <f>D23-D36</f>
        <v>-13.34</v>
      </c>
      <c r="G37">
        <v>1277.2</v>
      </c>
    </row>
    <row r="38" spans="1:7">
      <c r="G38">
        <v>1277.2</v>
      </c>
    </row>
    <row r="39" spans="1:7">
      <c r="G39">
        <v>1277.2</v>
      </c>
    </row>
    <row r="40" spans="1:7">
      <c r="G40">
        <v>1277.2</v>
      </c>
    </row>
    <row r="41" spans="1:7">
      <c r="G41">
        <v>1277.2</v>
      </c>
    </row>
    <row r="42" spans="1:7">
      <c r="G42">
        <v>1277.2</v>
      </c>
    </row>
    <row r="43" spans="1:7">
      <c r="G43">
        <v>1277.2</v>
      </c>
    </row>
    <row r="44" spans="1:7">
      <c r="G44">
        <v>1277.2</v>
      </c>
    </row>
    <row r="45" spans="1:7">
      <c r="G45">
        <v>1277.2</v>
      </c>
    </row>
    <row r="46" spans="1:7">
      <c r="G46">
        <v>1277.2</v>
      </c>
    </row>
    <row r="47" spans="1:7">
      <c r="G47">
        <v>1277.2</v>
      </c>
    </row>
    <row r="48" spans="1:7">
      <c r="G48">
        <v>1277.2</v>
      </c>
    </row>
    <row r="49" spans="7:7">
      <c r="G49">
        <v>1277.2</v>
      </c>
    </row>
    <row r="50" spans="7:7">
      <c r="G50">
        <v>1277.2</v>
      </c>
    </row>
    <row r="51" spans="7:7">
      <c r="G51">
        <v>1277.2</v>
      </c>
    </row>
    <row r="52" spans="7:7">
      <c r="G52">
        <v>1277.2</v>
      </c>
    </row>
    <row r="53" spans="7:7">
      <c r="G53">
        <v>1277.2</v>
      </c>
    </row>
    <row r="54" spans="7:7">
      <c r="G54">
        <v>1277.2</v>
      </c>
    </row>
    <row r="55" spans="7:7">
      <c r="G55">
        <v>1277.2</v>
      </c>
    </row>
    <row r="56" spans="7:7">
      <c r="G56">
        <v>1277.2</v>
      </c>
    </row>
    <row r="57" spans="7:7">
      <c r="G57">
        <v>1277.2</v>
      </c>
    </row>
    <row r="58" spans="7:7">
      <c r="G58">
        <v>1277.2</v>
      </c>
    </row>
    <row r="59" spans="7:7">
      <c r="G59">
        <v>1277.2</v>
      </c>
    </row>
    <row r="60" spans="7:7">
      <c r="G60">
        <v>1277.2</v>
      </c>
    </row>
    <row r="61" spans="7:7">
      <c r="G61">
        <v>1277.2</v>
      </c>
    </row>
    <row r="62" spans="7:7">
      <c r="G62">
        <v>1277.2</v>
      </c>
    </row>
    <row r="63" spans="7:7">
      <c r="G63">
        <v>1277.2</v>
      </c>
    </row>
    <row r="64" spans="7:7">
      <c r="G64">
        <v>1277.2</v>
      </c>
    </row>
    <row r="65" spans="7:7">
      <c r="G65">
        <v>1277.2</v>
      </c>
    </row>
    <row r="66" spans="7:7">
      <c r="G66">
        <v>1277.2</v>
      </c>
    </row>
    <row r="67" spans="7:7">
      <c r="G67">
        <v>1277.2</v>
      </c>
    </row>
    <row r="68" spans="7:7">
      <c r="G68">
        <v>1277.2</v>
      </c>
    </row>
  </sheetData>
  <mergeCells count="6">
    <mergeCell ref="A23:C23"/>
    <mergeCell ref="B24:B28"/>
    <mergeCell ref="A29:C29"/>
    <mergeCell ref="A2:E2"/>
    <mergeCell ref="A9:C9"/>
    <mergeCell ref="B10:B22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G27"/>
  <sheetViews>
    <sheetView workbookViewId="0">
      <selection activeCell="E27" sqref="E2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6.140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200368.12800000003</v>
      </c>
    </row>
    <row r="6" spans="1:7">
      <c r="A6" s="4"/>
      <c r="B6" s="6" t="s">
        <v>4</v>
      </c>
      <c r="C6" s="12" t="s">
        <v>19</v>
      </c>
      <c r="D6" s="12">
        <v>2015</v>
      </c>
      <c r="E6" s="11">
        <f>793.6*12*16.39</f>
        <v>156085.24800000002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>
        <v>2015</v>
      </c>
      <c r="E7" s="11">
        <f>793.6*4.65*12</f>
        <v>44282.880000000005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16" t="s">
        <v>21</v>
      </c>
      <c r="C10" s="12" t="s">
        <v>19</v>
      </c>
      <c r="D10" s="27"/>
      <c r="E10" s="18">
        <f>793.6*12*0.003</f>
        <v>28.569600000000001</v>
      </c>
      <c r="G10" s="17">
        <v>1.99</v>
      </c>
    </row>
    <row r="11" spans="1:7">
      <c r="A11" s="4"/>
      <c r="B11" s="7" t="s">
        <v>7</v>
      </c>
      <c r="C11" s="12" t="s">
        <v>19</v>
      </c>
      <c r="D11" s="12"/>
      <c r="E11" s="19">
        <f>793.6*12*2.54</f>
        <v>24188.928000000004</v>
      </c>
      <c r="G11" s="17">
        <v>15.21</v>
      </c>
    </row>
    <row r="12" spans="1:7">
      <c r="A12" s="4"/>
      <c r="B12" s="7" t="s">
        <v>8</v>
      </c>
      <c r="C12" s="12" t="s">
        <v>19</v>
      </c>
      <c r="D12" s="12" t="s">
        <v>30</v>
      </c>
      <c r="E12" s="19">
        <f>793.6*12*2.11</f>
        <v>20093.952000000001</v>
      </c>
      <c r="G12" s="17">
        <v>12.62</v>
      </c>
    </row>
    <row r="13" spans="1:7">
      <c r="A13" s="4"/>
      <c r="B13" s="7" t="s">
        <v>20</v>
      </c>
      <c r="C13" s="12" t="s">
        <v>19</v>
      </c>
      <c r="D13" s="12"/>
      <c r="E13" s="19"/>
      <c r="G13" s="17"/>
    </row>
    <row r="14" spans="1:7">
      <c r="A14" s="4"/>
      <c r="B14" s="7" t="s">
        <v>9</v>
      </c>
      <c r="C14" s="12" t="s">
        <v>19</v>
      </c>
      <c r="D14" s="12" t="s">
        <v>31</v>
      </c>
      <c r="E14" s="19">
        <f>793.6*12*2.6</f>
        <v>24760.320000000003</v>
      </c>
      <c r="G14" s="17">
        <v>15.55</v>
      </c>
    </row>
    <row r="15" spans="1:7">
      <c r="A15" s="4"/>
      <c r="B15" s="7" t="s">
        <v>10</v>
      </c>
      <c r="C15" s="12" t="s">
        <v>19</v>
      </c>
      <c r="D15" s="12" t="s">
        <v>32</v>
      </c>
      <c r="E15" s="19">
        <f>793.6*12*1.92</f>
        <v>18284.544000000002</v>
      </c>
      <c r="G15" s="17">
        <v>11.46</v>
      </c>
    </row>
    <row r="16" spans="1:7">
      <c r="A16" s="4"/>
      <c r="B16" s="7" t="s">
        <v>11</v>
      </c>
      <c r="C16" s="12" t="s">
        <v>19</v>
      </c>
      <c r="D16" s="28" t="s">
        <v>33</v>
      </c>
      <c r="E16" s="19">
        <f>793.6*12*2.34</f>
        <v>22284.288</v>
      </c>
      <c r="G16" s="17">
        <v>13.98</v>
      </c>
    </row>
    <row r="17" spans="1:7">
      <c r="A17" s="4"/>
      <c r="B17" s="7" t="s">
        <v>12</v>
      </c>
      <c r="C17" s="12" t="s">
        <v>19</v>
      </c>
      <c r="D17" s="28" t="s">
        <v>33</v>
      </c>
      <c r="E17" s="19">
        <f>793.6*12*1.36</f>
        <v>12951.552000000001</v>
      </c>
      <c r="G17" s="17">
        <v>8.1199999999999992</v>
      </c>
    </row>
    <row r="18" spans="1:7" ht="48">
      <c r="A18" s="4"/>
      <c r="B18" s="30" t="s">
        <v>34</v>
      </c>
      <c r="C18" s="31" t="s">
        <v>19</v>
      </c>
      <c r="D18" s="29" t="s">
        <v>32</v>
      </c>
      <c r="E18" s="31">
        <f>793.6*12*3.03</f>
        <v>28855.296000000002</v>
      </c>
      <c r="G18" s="17">
        <v>18.14</v>
      </c>
    </row>
    <row r="19" spans="1:7">
      <c r="A19" s="4"/>
      <c r="B19" s="7" t="s">
        <v>17</v>
      </c>
      <c r="C19" s="12" t="s">
        <v>19</v>
      </c>
      <c r="D19" s="12" t="s">
        <v>33</v>
      </c>
      <c r="E19" s="19">
        <f>793.6*12*0.07</f>
        <v>666.62400000000014</v>
      </c>
      <c r="F19" s="15"/>
      <c r="G19" s="17">
        <v>0.41</v>
      </c>
    </row>
    <row r="20" spans="1:7">
      <c r="A20" s="4"/>
      <c r="B20" s="7" t="s">
        <v>18</v>
      </c>
      <c r="C20" s="12" t="s">
        <v>19</v>
      </c>
      <c r="D20" s="12" t="s">
        <v>30</v>
      </c>
      <c r="E20" s="19">
        <f>793.6*12*0.42</f>
        <v>3999.7440000000001</v>
      </c>
      <c r="G20" s="17">
        <v>2.52</v>
      </c>
    </row>
    <row r="21" spans="1:7">
      <c r="A21" s="4"/>
      <c r="B21" s="8" t="s">
        <v>13</v>
      </c>
      <c r="C21" s="12" t="s">
        <v>19</v>
      </c>
      <c r="D21" s="12"/>
      <c r="E21" s="10">
        <f>E20+E19+E18+E17+E16+E15+E14+E13+E12+E11+E10</f>
        <v>156113.81760000001</v>
      </c>
      <c r="F21" s="15"/>
      <c r="G21" s="17">
        <f>G20+G19+G18+G17+G16+G15+G14+G13+G12+G11+G10</f>
        <v>100.00000000000001</v>
      </c>
    </row>
    <row r="22" spans="1:7">
      <c r="A22" s="4"/>
      <c r="B22" s="5" t="s">
        <v>14</v>
      </c>
      <c r="C22" s="12" t="s">
        <v>19</v>
      </c>
      <c r="D22" s="12"/>
      <c r="E22" s="10">
        <f>E6-E21</f>
        <v>-28.569599999987986</v>
      </c>
    </row>
    <row r="23" spans="1:7">
      <c r="A23" s="4"/>
      <c r="B23" s="91" t="s">
        <v>15</v>
      </c>
      <c r="C23" s="92"/>
      <c r="D23" s="92"/>
      <c r="E23" s="93"/>
    </row>
    <row r="24" spans="1:7">
      <c r="A24" s="4"/>
      <c r="B24" s="5" t="s">
        <v>16</v>
      </c>
      <c r="C24" s="12" t="s">
        <v>19</v>
      </c>
      <c r="D24" s="12"/>
      <c r="E24" s="10"/>
    </row>
    <row r="25" spans="1:7">
      <c r="A25" s="4"/>
      <c r="B25" s="23" t="s">
        <v>75</v>
      </c>
      <c r="C25" s="12" t="s">
        <v>19</v>
      </c>
      <c r="D25" s="12"/>
      <c r="E25" s="11">
        <v>50000</v>
      </c>
    </row>
    <row r="26" spans="1:7">
      <c r="A26" s="4"/>
      <c r="B26" s="12" t="s">
        <v>25</v>
      </c>
      <c r="C26" s="12" t="s">
        <v>19</v>
      </c>
      <c r="D26" s="12"/>
      <c r="E26" s="11">
        <f>E25</f>
        <v>50000</v>
      </c>
    </row>
    <row r="27" spans="1:7">
      <c r="A27" s="4"/>
      <c r="B27" s="5" t="s">
        <v>14</v>
      </c>
      <c r="C27" s="12" t="s">
        <v>19</v>
      </c>
      <c r="D27" s="12"/>
      <c r="E27" s="10">
        <f>E7-E26</f>
        <v>-5717.1199999999953</v>
      </c>
    </row>
  </sheetData>
  <mergeCells count="3">
    <mergeCell ref="A2:E2"/>
    <mergeCell ref="B9:E9"/>
    <mergeCell ref="B23:E23"/>
  </mergeCells>
  <phoneticPr fontId="6" type="noConversion"/>
  <dataValidations count="1">
    <dataValidation type="list" allowBlank="1" showInputMessage="1" showErrorMessage="1" sqref="B5:E5">
      <formula1>Адреса</formula1>
    </dataValidation>
  </dataValidation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>
  <sheetPr>
    <tabColor theme="0"/>
  </sheetPr>
  <dimension ref="A2:G62"/>
  <sheetViews>
    <sheetView topLeftCell="A28" workbookViewId="0">
      <selection activeCell="C30" sqref="C30:C36"/>
    </sheetView>
  </sheetViews>
  <sheetFormatPr defaultRowHeight="15"/>
  <cols>
    <col min="1" max="1" width="54.140625" customWidth="1"/>
    <col min="2" max="2" width="20.85546875" customWidth="1"/>
    <col min="3" max="3" width="22" customWidth="1"/>
    <col min="4" max="4" width="30.42578125" hidden="1" customWidth="1"/>
    <col min="5" max="6" width="0" hidden="1" customWidth="1"/>
    <col min="7" max="7" width="12.42578125" hidden="1" customWidth="1"/>
  </cols>
  <sheetData>
    <row r="2" spans="1:7">
      <c r="A2" s="98" t="s">
        <v>74</v>
      </c>
      <c r="B2" s="98"/>
      <c r="C2" s="98"/>
      <c r="D2" s="98"/>
      <c r="E2" s="98"/>
    </row>
    <row r="3" spans="1:7" ht="15.75" thickBot="1"/>
    <row r="4" spans="1:7" ht="38.25">
      <c r="A4" s="67" t="s">
        <v>35</v>
      </c>
      <c r="B4" s="65" t="s">
        <v>36</v>
      </c>
      <c r="C4" s="66" t="s">
        <v>73</v>
      </c>
      <c r="D4" s="65" t="s">
        <v>67</v>
      </c>
    </row>
    <row r="5" spans="1:7">
      <c r="A5" s="64" t="s">
        <v>72</v>
      </c>
      <c r="B5" s="60" t="s">
        <v>68</v>
      </c>
      <c r="C5" s="71">
        <f>C10+C11+C12+C13+C14+C15+C16+C17+C18+C19+C20+C21+C22+C24+C25+C26+C27+C28+C30+C31+C32+C33+C34+C35</f>
        <v>311809.34399999998</v>
      </c>
      <c r="D5" s="47"/>
    </row>
    <row r="6" spans="1:7">
      <c r="A6" s="63" t="s">
        <v>71</v>
      </c>
      <c r="B6" s="60"/>
      <c r="C6" s="71"/>
      <c r="D6" s="47"/>
    </row>
    <row r="7" spans="1:7">
      <c r="A7" s="61" t="s">
        <v>4</v>
      </c>
      <c r="B7" s="60" t="s">
        <v>68</v>
      </c>
      <c r="C7" s="71">
        <f>C10+C11+C12+C13+C14+C15+C16+C17+C18+C19+C20+C21+C22+C24+C25+C26+C27+C28+C30+C31+C32+C33+C34+C35</f>
        <v>311809.34399999998</v>
      </c>
      <c r="D7" s="47"/>
      <c r="G7">
        <v>1283.8</v>
      </c>
    </row>
    <row r="8" spans="1:7">
      <c r="A8" s="59"/>
      <c r="B8" s="58"/>
      <c r="C8" s="57"/>
      <c r="D8" s="47"/>
    </row>
    <row r="9" spans="1:7" ht="44.25" customHeight="1">
      <c r="A9" s="94" t="s">
        <v>22</v>
      </c>
      <c r="B9" s="95"/>
      <c r="C9" s="96"/>
      <c r="D9" s="54"/>
      <c r="G9">
        <v>1283.8</v>
      </c>
    </row>
    <row r="10" spans="1:7">
      <c r="A10" s="53" t="s">
        <v>37</v>
      </c>
      <c r="B10" s="97" t="s">
        <v>70</v>
      </c>
      <c r="C10" s="71">
        <f>D10*G7*12</f>
        <v>1694.616</v>
      </c>
      <c r="D10" s="51">
        <v>0.11</v>
      </c>
      <c r="G10">
        <v>1283.8</v>
      </c>
    </row>
    <row r="11" spans="1:7">
      <c r="A11" s="53" t="s">
        <v>39</v>
      </c>
      <c r="B11" s="97"/>
      <c r="C11" s="71">
        <f>D11*G7*12</f>
        <v>3543.288</v>
      </c>
      <c r="D11" s="51">
        <v>0.23</v>
      </c>
      <c r="G11">
        <v>1283.8</v>
      </c>
    </row>
    <row r="12" spans="1:7" ht="26.25">
      <c r="A12" s="53" t="s">
        <v>40</v>
      </c>
      <c r="B12" s="97"/>
      <c r="C12" s="71">
        <f>D12*12*G7</f>
        <v>6932.52</v>
      </c>
      <c r="D12" s="51">
        <v>0.45</v>
      </c>
      <c r="G12">
        <v>1283.8</v>
      </c>
    </row>
    <row r="13" spans="1:7" ht="26.25">
      <c r="A13" s="53" t="s">
        <v>41</v>
      </c>
      <c r="B13" s="97"/>
      <c r="C13" s="71">
        <f>D13*12*G7</f>
        <v>1540.5600000000002</v>
      </c>
      <c r="D13" s="51">
        <v>0.1</v>
      </c>
      <c r="G13">
        <v>1283.8</v>
      </c>
    </row>
    <row r="14" spans="1:7" ht="26.25">
      <c r="A14" s="53" t="s">
        <v>42</v>
      </c>
      <c r="B14" s="97"/>
      <c r="C14" s="71">
        <f>D14*12*G7</f>
        <v>1540.5600000000002</v>
      </c>
      <c r="D14" s="51">
        <v>0.1</v>
      </c>
      <c r="G14">
        <v>1283.8</v>
      </c>
    </row>
    <row r="15" spans="1:7" ht="26.25">
      <c r="A15" s="53" t="s">
        <v>43</v>
      </c>
      <c r="B15" s="97"/>
      <c r="C15" s="71">
        <f>D15*12*G7</f>
        <v>924.3359999999999</v>
      </c>
      <c r="D15" s="51">
        <v>0.06</v>
      </c>
      <c r="G15">
        <v>1283.8</v>
      </c>
    </row>
    <row r="16" spans="1:7" ht="26.25">
      <c r="A16" s="53" t="s">
        <v>44</v>
      </c>
      <c r="B16" s="97"/>
      <c r="C16" s="71">
        <f>D16*12*G7</f>
        <v>14019.096</v>
      </c>
      <c r="D16" s="51">
        <v>0.91</v>
      </c>
      <c r="G16">
        <v>1283.8</v>
      </c>
    </row>
    <row r="17" spans="1:7" ht="26.25">
      <c r="A17" s="53" t="s">
        <v>45</v>
      </c>
      <c r="B17" s="97"/>
      <c r="C17" s="71">
        <f>D17*12*G7</f>
        <v>3235.1759999999999</v>
      </c>
      <c r="D17" s="51">
        <v>0.21</v>
      </c>
      <c r="G17">
        <v>1283.8</v>
      </c>
    </row>
    <row r="18" spans="1:7" ht="26.25">
      <c r="A18" s="53" t="s">
        <v>46</v>
      </c>
      <c r="B18" s="97"/>
      <c r="C18" s="71">
        <f>D18*G16*12</f>
        <v>21105.671999999999</v>
      </c>
      <c r="D18" s="51">
        <v>1.37</v>
      </c>
      <c r="G18">
        <v>1283.8</v>
      </c>
    </row>
    <row r="19" spans="1:7" ht="26.25">
      <c r="A19" s="53" t="s">
        <v>47</v>
      </c>
      <c r="B19" s="97"/>
      <c r="C19" s="71">
        <f>D19*G17*12</f>
        <v>616.22399999999993</v>
      </c>
      <c r="D19" s="51">
        <v>0.04</v>
      </c>
      <c r="G19">
        <v>1283.8</v>
      </c>
    </row>
    <row r="20" spans="1:7" ht="90">
      <c r="A20" s="53" t="s">
        <v>69</v>
      </c>
      <c r="B20" s="97"/>
      <c r="C20" s="71">
        <f>D20*G18*12</f>
        <v>10013.64</v>
      </c>
      <c r="D20" s="51">
        <v>0.65</v>
      </c>
      <c r="G20">
        <v>1283.8</v>
      </c>
    </row>
    <row r="21" spans="1:7" ht="51.75">
      <c r="A21" s="53" t="s">
        <v>49</v>
      </c>
      <c r="B21" s="97"/>
      <c r="C21" s="71">
        <f>D21*G19*12</f>
        <v>1848.6719999999998</v>
      </c>
      <c r="D21" s="51">
        <v>0.12</v>
      </c>
      <c r="G21">
        <v>1283.8</v>
      </c>
    </row>
    <row r="22" spans="1:7" ht="39">
      <c r="A22" s="53" t="s">
        <v>50</v>
      </c>
      <c r="B22" s="97"/>
      <c r="C22" s="71">
        <f>D22*G20*12</f>
        <v>3235.1759999999995</v>
      </c>
      <c r="D22" s="51">
        <v>0.21</v>
      </c>
      <c r="G22">
        <v>1283.8</v>
      </c>
    </row>
    <row r="23" spans="1:7" ht="27" customHeight="1">
      <c r="A23" s="99" t="s">
        <v>23</v>
      </c>
      <c r="B23" s="100"/>
      <c r="C23" s="101"/>
      <c r="D23" s="56"/>
      <c r="G23">
        <v>1283.8</v>
      </c>
    </row>
    <row r="24" spans="1:7" ht="26.25">
      <c r="A24" s="53" t="s">
        <v>51</v>
      </c>
      <c r="B24" s="97" t="s">
        <v>52</v>
      </c>
      <c r="C24" s="71">
        <f>D24*G22*12</f>
        <v>10783.919999999998</v>
      </c>
      <c r="D24" s="55">
        <v>0.7</v>
      </c>
      <c r="G24">
        <v>1283.8</v>
      </c>
    </row>
    <row r="25" spans="1:7" ht="39">
      <c r="A25" s="53" t="s">
        <v>53</v>
      </c>
      <c r="B25" s="97"/>
      <c r="C25" s="71">
        <f>D25*G23*12</f>
        <v>7240.6319999999996</v>
      </c>
      <c r="D25" s="55">
        <v>0.47</v>
      </c>
      <c r="G25">
        <v>1283.8</v>
      </c>
    </row>
    <row r="26" spans="1:7" ht="39">
      <c r="A26" s="53" t="s">
        <v>54</v>
      </c>
      <c r="B26" s="97"/>
      <c r="C26" s="71">
        <f>D26*G24*12</f>
        <v>18024.551999999996</v>
      </c>
      <c r="D26" s="55">
        <v>1.17</v>
      </c>
      <c r="G26">
        <v>1283.8</v>
      </c>
    </row>
    <row r="27" spans="1:7" ht="39">
      <c r="A27" s="53" t="s">
        <v>55</v>
      </c>
      <c r="B27" s="97"/>
      <c r="C27" s="71">
        <f>D27*G25*12</f>
        <v>36203.159999999996</v>
      </c>
      <c r="D27" s="55">
        <v>2.35</v>
      </c>
      <c r="G27">
        <v>1283.8</v>
      </c>
    </row>
    <row r="28" spans="1:7" ht="51.75">
      <c r="A28" s="53" t="s">
        <v>56</v>
      </c>
      <c r="B28" s="97"/>
      <c r="C28" s="71">
        <f>D28*G26*12</f>
        <v>17562.383999999998</v>
      </c>
      <c r="D28" s="55">
        <v>1.1399999999999999</v>
      </c>
      <c r="G28">
        <v>1283.8</v>
      </c>
    </row>
    <row r="29" spans="1:7" ht="27.75" customHeight="1">
      <c r="A29" s="94" t="s">
        <v>24</v>
      </c>
      <c r="B29" s="95"/>
      <c r="C29" s="96"/>
      <c r="D29" s="54"/>
      <c r="G29">
        <v>1283.8</v>
      </c>
    </row>
    <row r="30" spans="1:7" ht="26.25">
      <c r="A30" s="53" t="s">
        <v>57</v>
      </c>
      <c r="B30" s="37" t="s">
        <v>58</v>
      </c>
      <c r="C30" s="71">
        <f t="shared" ref="C30:C35" si="0">D30*G28*12</f>
        <v>28346.304</v>
      </c>
      <c r="D30" s="51">
        <v>1.84</v>
      </c>
      <c r="G30">
        <v>1283.8</v>
      </c>
    </row>
    <row r="31" spans="1:7" ht="77.25">
      <c r="A31" s="53" t="s">
        <v>59</v>
      </c>
      <c r="B31" s="37" t="s">
        <v>58</v>
      </c>
      <c r="C31" s="71">
        <f t="shared" si="0"/>
        <v>40208.615999999995</v>
      </c>
      <c r="D31" s="51">
        <v>2.61</v>
      </c>
      <c r="G31">
        <v>1283.8</v>
      </c>
    </row>
    <row r="32" spans="1:7" ht="26.25">
      <c r="A32" s="53" t="s">
        <v>60</v>
      </c>
      <c r="B32" s="37" t="s">
        <v>58</v>
      </c>
      <c r="C32" s="71">
        <f t="shared" si="0"/>
        <v>28500.36</v>
      </c>
      <c r="D32" s="51">
        <v>1.85</v>
      </c>
      <c r="G32">
        <v>1283.8</v>
      </c>
    </row>
    <row r="33" spans="1:7" ht="26.25">
      <c r="A33" s="53" t="s">
        <v>61</v>
      </c>
      <c r="B33" s="37" t="s">
        <v>31</v>
      </c>
      <c r="C33" s="71">
        <f t="shared" si="0"/>
        <v>28962.527999999998</v>
      </c>
      <c r="D33" s="51">
        <v>1.88</v>
      </c>
      <c r="G33">
        <v>1283.8</v>
      </c>
    </row>
    <row r="34" spans="1:7" ht="64.5">
      <c r="A34" s="53" t="s">
        <v>62</v>
      </c>
      <c r="B34" s="37" t="s">
        <v>63</v>
      </c>
      <c r="C34" s="71">
        <f t="shared" si="0"/>
        <v>14635.32</v>
      </c>
      <c r="D34" s="51">
        <v>0.95</v>
      </c>
      <c r="G34">
        <v>1283.8</v>
      </c>
    </row>
    <row r="35" spans="1:7" ht="52.5" thickBot="1">
      <c r="A35" s="50" t="s">
        <v>64</v>
      </c>
      <c r="B35" s="49" t="s">
        <v>30</v>
      </c>
      <c r="C35" s="71">
        <f t="shared" si="0"/>
        <v>11092.031999999999</v>
      </c>
      <c r="D35" s="48">
        <v>0.72</v>
      </c>
      <c r="G35">
        <v>1283.8</v>
      </c>
    </row>
    <row r="36" spans="1:7">
      <c r="A36" s="8" t="s">
        <v>13</v>
      </c>
      <c r="B36" s="12" t="s">
        <v>19</v>
      </c>
      <c r="C36" s="71">
        <f>C35+C34+C33+C32+C31+C30+C28+C27+C26+C25+C24+C22+C21+C20+C19+C18+C17+C16+C15+C14+C13+C12+C11+C10</f>
        <v>311809.34399999998</v>
      </c>
      <c r="D36" s="10">
        <f>D35+D34+D33+D32+D31+D30+D29+D28+D27</f>
        <v>13.34</v>
      </c>
      <c r="G36">
        <v>1283.8</v>
      </c>
    </row>
    <row r="37" spans="1:7">
      <c r="A37" s="5" t="s">
        <v>14</v>
      </c>
      <c r="B37" s="12" t="s">
        <v>19</v>
      </c>
      <c r="C37" s="12">
        <f>C5-C36</f>
        <v>0</v>
      </c>
      <c r="D37" s="10">
        <f>D23-D36</f>
        <v>-13.34</v>
      </c>
      <c r="G37">
        <v>1283.8</v>
      </c>
    </row>
    <row r="38" spans="1:7">
      <c r="G38">
        <v>1283.8</v>
      </c>
    </row>
    <row r="39" spans="1:7">
      <c r="G39">
        <v>1283.8</v>
      </c>
    </row>
    <row r="40" spans="1:7">
      <c r="G40">
        <v>1283.8</v>
      </c>
    </row>
    <row r="41" spans="1:7">
      <c r="G41">
        <v>1283.8</v>
      </c>
    </row>
    <row r="42" spans="1:7">
      <c r="G42">
        <v>1283.8</v>
      </c>
    </row>
    <row r="43" spans="1:7">
      <c r="G43">
        <v>1283.8</v>
      </c>
    </row>
    <row r="44" spans="1:7">
      <c r="G44">
        <v>1283.8</v>
      </c>
    </row>
    <row r="45" spans="1:7">
      <c r="G45">
        <v>1283.8</v>
      </c>
    </row>
    <row r="46" spans="1:7">
      <c r="G46">
        <v>1283.8</v>
      </c>
    </row>
    <row r="47" spans="1:7">
      <c r="G47">
        <v>1283.8</v>
      </c>
    </row>
    <row r="48" spans="1:7">
      <c r="G48">
        <v>1283.8</v>
      </c>
    </row>
    <row r="49" spans="7:7">
      <c r="G49">
        <v>1283.8</v>
      </c>
    </row>
    <row r="50" spans="7:7">
      <c r="G50">
        <v>1283.8</v>
      </c>
    </row>
    <row r="51" spans="7:7">
      <c r="G51">
        <v>1283.8</v>
      </c>
    </row>
    <row r="52" spans="7:7">
      <c r="G52">
        <v>1283.8</v>
      </c>
    </row>
    <row r="53" spans="7:7">
      <c r="G53">
        <v>1283.8</v>
      </c>
    </row>
    <row r="54" spans="7:7">
      <c r="G54">
        <v>1283.8</v>
      </c>
    </row>
    <row r="55" spans="7:7">
      <c r="G55">
        <v>1283.8</v>
      </c>
    </row>
    <row r="56" spans="7:7">
      <c r="G56">
        <v>1283.8</v>
      </c>
    </row>
    <row r="57" spans="7:7">
      <c r="G57">
        <v>1283.8</v>
      </c>
    </row>
    <row r="58" spans="7:7">
      <c r="G58">
        <v>1283.8</v>
      </c>
    </row>
    <row r="59" spans="7:7">
      <c r="G59">
        <v>1283.8</v>
      </c>
    </row>
    <row r="60" spans="7:7">
      <c r="G60">
        <v>1283.8</v>
      </c>
    </row>
    <row r="61" spans="7:7">
      <c r="G61">
        <v>1281.7</v>
      </c>
    </row>
    <row r="62" spans="7:7">
      <c r="G62">
        <v>1281.7</v>
      </c>
    </row>
  </sheetData>
  <mergeCells count="6">
    <mergeCell ref="A23:C23"/>
    <mergeCell ref="B24:B28"/>
    <mergeCell ref="A29:C29"/>
    <mergeCell ref="A2:E2"/>
    <mergeCell ref="A9:C9"/>
    <mergeCell ref="B10:B22"/>
  </mergeCells>
  <phoneticPr fontId="6" type="noConversion"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>
  <sheetPr>
    <tabColor theme="0"/>
  </sheetPr>
  <dimension ref="A2:G78"/>
  <sheetViews>
    <sheetView topLeftCell="A28" workbookViewId="0">
      <selection activeCell="C30" sqref="C30:C36"/>
    </sheetView>
  </sheetViews>
  <sheetFormatPr defaultRowHeight="15"/>
  <cols>
    <col min="1" max="1" width="54.140625" customWidth="1"/>
    <col min="2" max="2" width="20.85546875" customWidth="1"/>
    <col min="3" max="3" width="22" customWidth="1"/>
    <col min="4" max="4" width="30.42578125" hidden="1" customWidth="1"/>
    <col min="5" max="6" width="0" hidden="1" customWidth="1"/>
    <col min="7" max="7" width="5.85546875" hidden="1" customWidth="1"/>
  </cols>
  <sheetData>
    <row r="2" spans="1:7">
      <c r="A2" s="98" t="s">
        <v>74</v>
      </c>
      <c r="B2" s="98"/>
      <c r="C2" s="98"/>
      <c r="D2" s="98"/>
      <c r="E2" s="98"/>
    </row>
    <row r="3" spans="1:7" ht="15.75" thickBot="1"/>
    <row r="4" spans="1:7" ht="38.25">
      <c r="A4" s="67" t="s">
        <v>35</v>
      </c>
      <c r="B4" s="65" t="s">
        <v>36</v>
      </c>
      <c r="C4" s="66" t="s">
        <v>73</v>
      </c>
      <c r="D4" s="65" t="s">
        <v>67</v>
      </c>
    </row>
    <row r="5" spans="1:7">
      <c r="A5" s="64" t="s">
        <v>72</v>
      </c>
      <c r="B5" s="60" t="s">
        <v>68</v>
      </c>
      <c r="C5" s="71">
        <f>C10+C11+C12+C13+C14+C15+C16+C17+C18+C19+C20+C21+C22+C24+C25+C26+C27+C28+C30+C31+C32+C33+C34+C35</f>
        <v>311323.58399999997</v>
      </c>
      <c r="D5" s="47"/>
    </row>
    <row r="6" spans="1:7">
      <c r="A6" s="63" t="s">
        <v>71</v>
      </c>
      <c r="B6" s="60"/>
      <c r="C6" s="71"/>
      <c r="D6" s="47"/>
    </row>
    <row r="7" spans="1:7">
      <c r="A7" s="61" t="s">
        <v>4</v>
      </c>
      <c r="B7" s="60" t="s">
        <v>68</v>
      </c>
      <c r="C7" s="71">
        <f>C10+C11+C12+C13+C14+C15+C16+C17+C18+C19+C20+C21+C22+C24+C25+C26+C27+C28+C30+C31+C32+C33+C34+C35</f>
        <v>311323.58399999997</v>
      </c>
      <c r="D7" s="47"/>
      <c r="G7">
        <v>1281.8</v>
      </c>
    </row>
    <row r="8" spans="1:7">
      <c r="A8" s="59"/>
      <c r="B8" s="58"/>
      <c r="C8" s="57"/>
      <c r="D8" s="47"/>
    </row>
    <row r="9" spans="1:7" ht="44.25" customHeight="1">
      <c r="A9" s="94" t="s">
        <v>22</v>
      </c>
      <c r="B9" s="95"/>
      <c r="C9" s="96"/>
      <c r="D9" s="54"/>
      <c r="G9">
        <v>1281.8</v>
      </c>
    </row>
    <row r="10" spans="1:7">
      <c r="A10" s="53" t="s">
        <v>37</v>
      </c>
      <c r="B10" s="97" t="s">
        <v>70</v>
      </c>
      <c r="C10" s="71">
        <f>D10*G7*12</f>
        <v>1691.9759999999999</v>
      </c>
      <c r="D10" s="51">
        <v>0.11</v>
      </c>
      <c r="G10">
        <v>1281.8</v>
      </c>
    </row>
    <row r="11" spans="1:7">
      <c r="A11" s="53" t="s">
        <v>39</v>
      </c>
      <c r="B11" s="97"/>
      <c r="C11" s="71">
        <f>D11*G7*12</f>
        <v>3537.768</v>
      </c>
      <c r="D11" s="51">
        <v>0.23</v>
      </c>
      <c r="G11">
        <v>1281.8</v>
      </c>
    </row>
    <row r="12" spans="1:7" ht="26.25">
      <c r="A12" s="53" t="s">
        <v>40</v>
      </c>
      <c r="B12" s="97"/>
      <c r="C12" s="71">
        <f>D12*12*G7</f>
        <v>6921.72</v>
      </c>
      <c r="D12" s="51">
        <v>0.45</v>
      </c>
      <c r="G12">
        <v>1281.8</v>
      </c>
    </row>
    <row r="13" spans="1:7" ht="26.25">
      <c r="A13" s="53" t="s">
        <v>41</v>
      </c>
      <c r="B13" s="97"/>
      <c r="C13" s="71">
        <f>D13*12*G7</f>
        <v>1538.16</v>
      </c>
      <c r="D13" s="51">
        <v>0.1</v>
      </c>
      <c r="G13">
        <v>1281.8</v>
      </c>
    </row>
    <row r="14" spans="1:7" ht="26.25">
      <c r="A14" s="53" t="s">
        <v>42</v>
      </c>
      <c r="B14" s="97"/>
      <c r="C14" s="71">
        <f>D14*12*G7</f>
        <v>1538.16</v>
      </c>
      <c r="D14" s="51">
        <v>0.1</v>
      </c>
      <c r="G14">
        <v>1281.8</v>
      </c>
    </row>
    <row r="15" spans="1:7" ht="26.25">
      <c r="A15" s="53" t="s">
        <v>43</v>
      </c>
      <c r="B15" s="97"/>
      <c r="C15" s="71">
        <f>D15*12*G7</f>
        <v>922.89599999999996</v>
      </c>
      <c r="D15" s="51">
        <v>0.06</v>
      </c>
      <c r="G15">
        <v>1281.8</v>
      </c>
    </row>
    <row r="16" spans="1:7" ht="26.25">
      <c r="A16" s="53" t="s">
        <v>44</v>
      </c>
      <c r="B16" s="97"/>
      <c r="C16" s="71">
        <f>D16*12*G7</f>
        <v>13997.255999999999</v>
      </c>
      <c r="D16" s="51">
        <v>0.91</v>
      </c>
      <c r="G16">
        <v>1281.8</v>
      </c>
    </row>
    <row r="17" spans="1:7" ht="26.25">
      <c r="A17" s="53" t="s">
        <v>45</v>
      </c>
      <c r="B17" s="97"/>
      <c r="C17" s="71">
        <f>D17*12*G7</f>
        <v>3230.136</v>
      </c>
      <c r="D17" s="51">
        <v>0.21</v>
      </c>
      <c r="G17">
        <v>1281.8</v>
      </c>
    </row>
    <row r="18" spans="1:7" ht="26.25">
      <c r="A18" s="53" t="s">
        <v>46</v>
      </c>
      <c r="B18" s="97"/>
      <c r="C18" s="71">
        <f>D18*G16*12</f>
        <v>21072.792000000001</v>
      </c>
      <c r="D18" s="51">
        <v>1.37</v>
      </c>
      <c r="G18">
        <v>1281.8</v>
      </c>
    </row>
    <row r="19" spans="1:7" ht="26.25">
      <c r="A19" s="53" t="s">
        <v>47</v>
      </c>
      <c r="B19" s="97"/>
      <c r="C19" s="71">
        <f>D19*G17*12</f>
        <v>615.26400000000001</v>
      </c>
      <c r="D19" s="51">
        <v>0.04</v>
      </c>
      <c r="G19">
        <v>1281.8</v>
      </c>
    </row>
    <row r="20" spans="1:7" ht="90">
      <c r="A20" s="53" t="s">
        <v>69</v>
      </c>
      <c r="B20" s="97"/>
      <c r="C20" s="71">
        <f>D20*G18*12</f>
        <v>9998.0399999999991</v>
      </c>
      <c r="D20" s="51">
        <v>0.65</v>
      </c>
      <c r="G20">
        <v>1281.8</v>
      </c>
    </row>
    <row r="21" spans="1:7" ht="51.75">
      <c r="A21" s="53" t="s">
        <v>49</v>
      </c>
      <c r="B21" s="97"/>
      <c r="C21" s="71">
        <f>D21*G19*12</f>
        <v>1845.7919999999999</v>
      </c>
      <c r="D21" s="51">
        <v>0.12</v>
      </c>
      <c r="G21">
        <v>1281.8</v>
      </c>
    </row>
    <row r="22" spans="1:7" ht="39">
      <c r="A22" s="53" t="s">
        <v>50</v>
      </c>
      <c r="B22" s="97"/>
      <c r="C22" s="71">
        <f>D22*G20*12</f>
        <v>3230.136</v>
      </c>
      <c r="D22" s="51">
        <v>0.21</v>
      </c>
      <c r="G22">
        <v>1281.8</v>
      </c>
    </row>
    <row r="23" spans="1:7" ht="27" customHeight="1">
      <c r="A23" s="99" t="s">
        <v>23</v>
      </c>
      <c r="B23" s="100"/>
      <c r="C23" s="101"/>
      <c r="D23" s="56"/>
      <c r="G23">
        <v>1281.8</v>
      </c>
    </row>
    <row r="24" spans="1:7" ht="26.25">
      <c r="A24" s="53" t="s">
        <v>51</v>
      </c>
      <c r="B24" s="97" t="s">
        <v>52</v>
      </c>
      <c r="C24" s="71">
        <f>D24*G22*12</f>
        <v>10767.119999999999</v>
      </c>
      <c r="D24" s="55">
        <v>0.7</v>
      </c>
      <c r="G24">
        <v>1281.8</v>
      </c>
    </row>
    <row r="25" spans="1:7" ht="39">
      <c r="A25" s="53" t="s">
        <v>53</v>
      </c>
      <c r="B25" s="97"/>
      <c r="C25" s="71">
        <f>D25*G23*12</f>
        <v>7229.351999999999</v>
      </c>
      <c r="D25" s="55">
        <v>0.47</v>
      </c>
      <c r="G25">
        <v>1281.8</v>
      </c>
    </row>
    <row r="26" spans="1:7" ht="39">
      <c r="A26" s="53" t="s">
        <v>54</v>
      </c>
      <c r="B26" s="97"/>
      <c r="C26" s="71">
        <f>D26*G24*12</f>
        <v>17996.471999999998</v>
      </c>
      <c r="D26" s="55">
        <v>1.17</v>
      </c>
      <c r="G26">
        <v>1281.8</v>
      </c>
    </row>
    <row r="27" spans="1:7" ht="39">
      <c r="A27" s="53" t="s">
        <v>55</v>
      </c>
      <c r="B27" s="97"/>
      <c r="C27" s="71">
        <f>D27*G25*12</f>
        <v>36146.76</v>
      </c>
      <c r="D27" s="55">
        <v>2.35</v>
      </c>
      <c r="G27">
        <v>1281.8</v>
      </c>
    </row>
    <row r="28" spans="1:7" ht="51.75">
      <c r="A28" s="53" t="s">
        <v>56</v>
      </c>
      <c r="B28" s="97"/>
      <c r="C28" s="71">
        <f>D28*G26*12</f>
        <v>17535.023999999998</v>
      </c>
      <c r="D28" s="55">
        <v>1.1399999999999999</v>
      </c>
      <c r="G28">
        <v>1281.8</v>
      </c>
    </row>
    <row r="29" spans="1:7" ht="27.75" customHeight="1">
      <c r="A29" s="94" t="s">
        <v>24</v>
      </c>
      <c r="B29" s="95"/>
      <c r="C29" s="96"/>
      <c r="D29" s="54"/>
      <c r="G29">
        <v>1281.8</v>
      </c>
    </row>
    <row r="30" spans="1:7" ht="26.25">
      <c r="A30" s="53" t="s">
        <v>57</v>
      </c>
      <c r="B30" s="37" t="s">
        <v>58</v>
      </c>
      <c r="C30" s="71">
        <f t="shared" ref="C30:C35" si="0">D30*G28*12</f>
        <v>28302.144</v>
      </c>
      <c r="D30" s="51">
        <v>1.84</v>
      </c>
      <c r="G30">
        <v>1281.8</v>
      </c>
    </row>
    <row r="31" spans="1:7" ht="77.25">
      <c r="A31" s="53" t="s">
        <v>59</v>
      </c>
      <c r="B31" s="37" t="s">
        <v>58</v>
      </c>
      <c r="C31" s="71">
        <f t="shared" si="0"/>
        <v>40145.975999999995</v>
      </c>
      <c r="D31" s="51">
        <v>2.61</v>
      </c>
      <c r="G31">
        <v>1281.8</v>
      </c>
    </row>
    <row r="32" spans="1:7" ht="26.25">
      <c r="A32" s="53" t="s">
        <v>60</v>
      </c>
      <c r="B32" s="37" t="s">
        <v>58</v>
      </c>
      <c r="C32" s="71">
        <f t="shared" si="0"/>
        <v>28455.96</v>
      </c>
      <c r="D32" s="51">
        <v>1.85</v>
      </c>
      <c r="G32">
        <v>1281.8</v>
      </c>
    </row>
    <row r="33" spans="1:7" ht="26.25">
      <c r="A33" s="53" t="s">
        <v>61</v>
      </c>
      <c r="B33" s="37" t="s">
        <v>31</v>
      </c>
      <c r="C33" s="71">
        <f t="shared" si="0"/>
        <v>28917.407999999996</v>
      </c>
      <c r="D33" s="51">
        <v>1.88</v>
      </c>
      <c r="G33">
        <v>1281.8</v>
      </c>
    </row>
    <row r="34" spans="1:7" ht="64.5">
      <c r="A34" s="53" t="s">
        <v>62</v>
      </c>
      <c r="B34" s="37" t="s">
        <v>63</v>
      </c>
      <c r="C34" s="71">
        <f t="shared" si="0"/>
        <v>14612.519999999997</v>
      </c>
      <c r="D34" s="51">
        <v>0.95</v>
      </c>
      <c r="G34">
        <v>1281.8</v>
      </c>
    </row>
    <row r="35" spans="1:7" ht="52.5" thickBot="1">
      <c r="A35" s="50" t="s">
        <v>64</v>
      </c>
      <c r="B35" s="49" t="s">
        <v>30</v>
      </c>
      <c r="C35" s="71">
        <f t="shared" si="0"/>
        <v>11074.752</v>
      </c>
      <c r="D35" s="48">
        <v>0.72</v>
      </c>
      <c r="G35">
        <v>1281.8</v>
      </c>
    </row>
    <row r="36" spans="1:7">
      <c r="A36" s="8" t="s">
        <v>13</v>
      </c>
      <c r="B36" s="12" t="s">
        <v>19</v>
      </c>
      <c r="C36" s="71">
        <f>C35+C34+C33+C32+C31+C30+C28+C27+C26+C25+C24+C22+C21+C20+C19+C18+C17+C16+C15+C14+C13+C12+C11+C10</f>
        <v>311323.58399999992</v>
      </c>
      <c r="D36" s="10">
        <f>D35+D34+D33+D32+D31+D30+D29+D28+D27</f>
        <v>13.34</v>
      </c>
      <c r="G36">
        <v>1281.8</v>
      </c>
    </row>
    <row r="37" spans="1:7">
      <c r="A37" s="5" t="s">
        <v>14</v>
      </c>
      <c r="B37" s="12" t="s">
        <v>19</v>
      </c>
      <c r="C37" s="12">
        <f>C5-C36</f>
        <v>0</v>
      </c>
      <c r="D37" s="10">
        <f>D23-D36</f>
        <v>-13.34</v>
      </c>
      <c r="G37">
        <v>1281.8</v>
      </c>
    </row>
    <row r="38" spans="1:7">
      <c r="G38">
        <v>1281.8</v>
      </c>
    </row>
    <row r="39" spans="1:7">
      <c r="G39">
        <v>1281.8</v>
      </c>
    </row>
    <row r="40" spans="1:7">
      <c r="G40">
        <v>1281.8</v>
      </c>
    </row>
    <row r="41" spans="1:7">
      <c r="G41">
        <v>1281.8</v>
      </c>
    </row>
    <row r="42" spans="1:7">
      <c r="G42">
        <v>1281.8</v>
      </c>
    </row>
    <row r="43" spans="1:7">
      <c r="G43">
        <v>1281.8</v>
      </c>
    </row>
    <row r="44" spans="1:7">
      <c r="G44">
        <v>1281.8</v>
      </c>
    </row>
    <row r="45" spans="1:7">
      <c r="G45">
        <v>1281.8</v>
      </c>
    </row>
    <row r="46" spans="1:7">
      <c r="G46">
        <v>1281.8</v>
      </c>
    </row>
    <row r="47" spans="1:7">
      <c r="G47">
        <v>1281.8</v>
      </c>
    </row>
    <row r="48" spans="1:7">
      <c r="G48">
        <v>1281.8</v>
      </c>
    </row>
    <row r="49" spans="7:7">
      <c r="G49">
        <v>1281.8</v>
      </c>
    </row>
    <row r="50" spans="7:7">
      <c r="G50">
        <v>1281.8</v>
      </c>
    </row>
    <row r="51" spans="7:7">
      <c r="G51">
        <v>1281.8</v>
      </c>
    </row>
    <row r="52" spans="7:7">
      <c r="G52">
        <v>1281.8</v>
      </c>
    </row>
    <row r="53" spans="7:7">
      <c r="G53">
        <v>1281.8</v>
      </c>
    </row>
    <row r="54" spans="7:7">
      <c r="G54">
        <v>1281.8</v>
      </c>
    </row>
    <row r="55" spans="7:7">
      <c r="G55">
        <v>1281.8</v>
      </c>
    </row>
    <row r="56" spans="7:7">
      <c r="G56">
        <v>1281.8</v>
      </c>
    </row>
    <row r="57" spans="7:7">
      <c r="G57">
        <v>1281.8</v>
      </c>
    </row>
    <row r="58" spans="7:7">
      <c r="G58">
        <v>1281.8</v>
      </c>
    </row>
    <row r="59" spans="7:7">
      <c r="G59">
        <v>1281.8</v>
      </c>
    </row>
    <row r="60" spans="7:7">
      <c r="G60">
        <v>1281.8</v>
      </c>
    </row>
    <row r="61" spans="7:7">
      <c r="G61">
        <v>1281.8</v>
      </c>
    </row>
    <row r="62" spans="7:7">
      <c r="G62">
        <v>1281.8</v>
      </c>
    </row>
    <row r="63" spans="7:7">
      <c r="G63">
        <v>1281.8</v>
      </c>
    </row>
    <row r="64" spans="7:7">
      <c r="G64">
        <v>1281.8</v>
      </c>
    </row>
    <row r="65" spans="7:7">
      <c r="G65">
        <v>1281.8</v>
      </c>
    </row>
    <row r="66" spans="7:7">
      <c r="G66">
        <v>1281.8</v>
      </c>
    </row>
    <row r="67" spans="7:7">
      <c r="G67">
        <v>1281.8</v>
      </c>
    </row>
    <row r="68" spans="7:7">
      <c r="G68">
        <v>1281.8</v>
      </c>
    </row>
    <row r="69" spans="7:7">
      <c r="G69">
        <v>1281.8</v>
      </c>
    </row>
    <row r="70" spans="7:7">
      <c r="G70">
        <v>1281.8</v>
      </c>
    </row>
    <row r="71" spans="7:7">
      <c r="G71">
        <v>1281.8</v>
      </c>
    </row>
    <row r="72" spans="7:7">
      <c r="G72">
        <v>1281.8</v>
      </c>
    </row>
    <row r="73" spans="7:7">
      <c r="G73">
        <v>1281.8</v>
      </c>
    </row>
    <row r="74" spans="7:7">
      <c r="G74">
        <v>1281.8</v>
      </c>
    </row>
    <row r="75" spans="7:7">
      <c r="G75">
        <v>1281.8</v>
      </c>
    </row>
    <row r="76" spans="7:7">
      <c r="G76">
        <v>1281.8</v>
      </c>
    </row>
    <row r="77" spans="7:7">
      <c r="G77">
        <v>1281.8</v>
      </c>
    </row>
    <row r="78" spans="7:7">
      <c r="G78">
        <v>1281.8</v>
      </c>
    </row>
  </sheetData>
  <mergeCells count="6">
    <mergeCell ref="A23:C23"/>
    <mergeCell ref="B24:B28"/>
    <mergeCell ref="A29:C29"/>
    <mergeCell ref="A2:E2"/>
    <mergeCell ref="A9:C9"/>
    <mergeCell ref="B10:B22"/>
  </mergeCells>
  <phoneticPr fontId="6" type="noConversion"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>
  <sheetPr>
    <tabColor theme="0"/>
  </sheetPr>
  <dimension ref="A2:G62"/>
  <sheetViews>
    <sheetView topLeftCell="A24" workbookViewId="0">
      <selection activeCell="K31" sqref="K31"/>
    </sheetView>
  </sheetViews>
  <sheetFormatPr defaultRowHeight="15"/>
  <cols>
    <col min="1" max="1" width="54.140625" customWidth="1"/>
    <col min="2" max="2" width="20.85546875" customWidth="1"/>
    <col min="3" max="3" width="22" customWidth="1"/>
    <col min="4" max="4" width="30.42578125" hidden="1" customWidth="1"/>
    <col min="5" max="6" width="0" hidden="1" customWidth="1"/>
    <col min="7" max="7" width="5.28515625" hidden="1" customWidth="1"/>
  </cols>
  <sheetData>
    <row r="2" spans="1:7">
      <c r="A2" s="98" t="s">
        <v>74</v>
      </c>
      <c r="B2" s="98"/>
      <c r="C2" s="98"/>
      <c r="D2" s="98"/>
      <c r="E2" s="98"/>
    </row>
    <row r="3" spans="1:7" ht="15.75" thickBot="1"/>
    <row r="4" spans="1:7" ht="38.25">
      <c r="A4" s="67" t="s">
        <v>35</v>
      </c>
      <c r="B4" s="65" t="s">
        <v>36</v>
      </c>
      <c r="C4" s="66" t="s">
        <v>73</v>
      </c>
      <c r="D4" s="65" t="s">
        <v>67</v>
      </c>
    </row>
    <row r="5" spans="1:7">
      <c r="A5" s="64" t="s">
        <v>72</v>
      </c>
      <c r="B5" s="60" t="s">
        <v>68</v>
      </c>
      <c r="C5" s="71">
        <f>C10+C11+C12+C13+C14+C15+C16+C17+C18+C19+C20+C21+C22+C24+C25+C26+C27+C28+C30+C31+C32+C33+C34+C35</f>
        <v>311347.87199999997</v>
      </c>
      <c r="D5" s="47"/>
    </row>
    <row r="6" spans="1:7">
      <c r="A6" s="63" t="s">
        <v>71</v>
      </c>
      <c r="B6" s="60"/>
      <c r="C6" s="71"/>
      <c r="D6" s="47"/>
    </row>
    <row r="7" spans="1:7">
      <c r="A7" s="61" t="s">
        <v>4</v>
      </c>
      <c r="B7" s="60" t="s">
        <v>68</v>
      </c>
      <c r="C7" s="71">
        <f>C10+C11+C12+C13+C14+C15+C16+C17+C18+C19+C20+C21+C22+C24+C25+C26+C27+C28+C30+C31+C32+C33+C34+C35</f>
        <v>311347.87199999997</v>
      </c>
      <c r="D7" s="47"/>
      <c r="G7">
        <v>1281.9000000000001</v>
      </c>
    </row>
    <row r="8" spans="1:7">
      <c r="A8" s="59"/>
      <c r="B8" s="58"/>
      <c r="C8" s="57"/>
      <c r="D8" s="47"/>
    </row>
    <row r="9" spans="1:7" ht="44.25" customHeight="1">
      <c r="A9" s="94" t="s">
        <v>22</v>
      </c>
      <c r="B9" s="95"/>
      <c r="C9" s="96"/>
      <c r="D9" s="54"/>
      <c r="G9">
        <v>1281.9000000000001</v>
      </c>
    </row>
    <row r="10" spans="1:7">
      <c r="A10" s="53" t="s">
        <v>37</v>
      </c>
      <c r="B10" s="97" t="s">
        <v>70</v>
      </c>
      <c r="C10" s="71">
        <f>D10*G7*12</f>
        <v>1692.1080000000002</v>
      </c>
      <c r="D10" s="51">
        <v>0.11</v>
      </c>
      <c r="G10">
        <v>1281.9000000000001</v>
      </c>
    </row>
    <row r="11" spans="1:7">
      <c r="A11" s="53" t="s">
        <v>39</v>
      </c>
      <c r="B11" s="97"/>
      <c r="C11" s="71">
        <f>D11*G7*12</f>
        <v>3538.0440000000008</v>
      </c>
      <c r="D11" s="51">
        <v>0.23</v>
      </c>
      <c r="G11">
        <v>1281.9000000000001</v>
      </c>
    </row>
    <row r="12" spans="1:7" ht="26.25">
      <c r="A12" s="53" t="s">
        <v>40</v>
      </c>
      <c r="B12" s="97"/>
      <c r="C12" s="71">
        <f>D12*12*G7</f>
        <v>6922.2600000000011</v>
      </c>
      <c r="D12" s="51">
        <v>0.45</v>
      </c>
      <c r="G12">
        <v>1281.9000000000001</v>
      </c>
    </row>
    <row r="13" spans="1:7" ht="26.25">
      <c r="A13" s="53" t="s">
        <v>41</v>
      </c>
      <c r="B13" s="97"/>
      <c r="C13" s="71">
        <f>D13*12*G7</f>
        <v>1538.2800000000004</v>
      </c>
      <c r="D13" s="51">
        <v>0.1</v>
      </c>
      <c r="G13">
        <v>1281.9000000000001</v>
      </c>
    </row>
    <row r="14" spans="1:7" ht="26.25">
      <c r="A14" s="53" t="s">
        <v>42</v>
      </c>
      <c r="B14" s="97"/>
      <c r="C14" s="71">
        <f>D14*12*G7</f>
        <v>1538.2800000000004</v>
      </c>
      <c r="D14" s="51">
        <v>0.1</v>
      </c>
      <c r="G14">
        <v>1281.9000000000001</v>
      </c>
    </row>
    <row r="15" spans="1:7" ht="26.25">
      <c r="A15" s="53" t="s">
        <v>43</v>
      </c>
      <c r="B15" s="97"/>
      <c r="C15" s="71">
        <f>D15*12*G7</f>
        <v>922.96800000000007</v>
      </c>
      <c r="D15" s="51">
        <v>0.06</v>
      </c>
      <c r="G15">
        <v>1281.9000000000001</v>
      </c>
    </row>
    <row r="16" spans="1:7" ht="26.25">
      <c r="A16" s="53" t="s">
        <v>44</v>
      </c>
      <c r="B16" s="97"/>
      <c r="C16" s="71">
        <f>D16*12*G7</f>
        <v>13998.348000000002</v>
      </c>
      <c r="D16" s="51">
        <v>0.91</v>
      </c>
      <c r="G16">
        <v>1281.9000000000001</v>
      </c>
    </row>
    <row r="17" spans="1:7" ht="26.25">
      <c r="A17" s="53" t="s">
        <v>45</v>
      </c>
      <c r="B17" s="97"/>
      <c r="C17" s="71">
        <f>D17*12*G7</f>
        <v>3230.3880000000004</v>
      </c>
      <c r="D17" s="51">
        <v>0.21</v>
      </c>
      <c r="G17">
        <v>1281.9000000000001</v>
      </c>
    </row>
    <row r="18" spans="1:7" ht="26.25">
      <c r="A18" s="53" t="s">
        <v>46</v>
      </c>
      <c r="B18" s="97"/>
      <c r="C18" s="71">
        <f>D18*G16*12</f>
        <v>21074.436000000002</v>
      </c>
      <c r="D18" s="51">
        <v>1.37</v>
      </c>
      <c r="G18">
        <v>1281.9000000000001</v>
      </c>
    </row>
    <row r="19" spans="1:7" ht="26.25">
      <c r="A19" s="53" t="s">
        <v>47</v>
      </c>
      <c r="B19" s="97"/>
      <c r="C19" s="71">
        <f>D19*G17*12</f>
        <v>615.31200000000001</v>
      </c>
      <c r="D19" s="51">
        <v>0.04</v>
      </c>
      <c r="G19">
        <v>1281.9000000000001</v>
      </c>
    </row>
    <row r="20" spans="1:7" ht="90">
      <c r="A20" s="53" t="s">
        <v>69</v>
      </c>
      <c r="B20" s="97"/>
      <c r="C20" s="71">
        <f>D20*G18*12</f>
        <v>9998.8200000000015</v>
      </c>
      <c r="D20" s="51">
        <v>0.65</v>
      </c>
      <c r="G20">
        <v>1281.9000000000001</v>
      </c>
    </row>
    <row r="21" spans="1:7" ht="51.75">
      <c r="A21" s="53" t="s">
        <v>49</v>
      </c>
      <c r="B21" s="97"/>
      <c r="C21" s="71">
        <f>D21*G19*12</f>
        <v>1845.9360000000001</v>
      </c>
      <c r="D21" s="51">
        <v>0.12</v>
      </c>
      <c r="G21">
        <v>1281.9000000000001</v>
      </c>
    </row>
    <row r="22" spans="1:7" ht="39">
      <c r="A22" s="53" t="s">
        <v>50</v>
      </c>
      <c r="B22" s="97"/>
      <c r="C22" s="71">
        <f>D22*G20*12</f>
        <v>3230.3879999999999</v>
      </c>
      <c r="D22" s="51">
        <v>0.21</v>
      </c>
      <c r="G22">
        <v>1281.9000000000001</v>
      </c>
    </row>
    <row r="23" spans="1:7" ht="27" customHeight="1">
      <c r="A23" s="99" t="s">
        <v>23</v>
      </c>
      <c r="B23" s="100"/>
      <c r="C23" s="101"/>
      <c r="D23" s="56"/>
      <c r="G23">
        <v>1281.9000000000001</v>
      </c>
    </row>
    <row r="24" spans="1:7" ht="26.25">
      <c r="A24" s="53" t="s">
        <v>51</v>
      </c>
      <c r="B24" s="97" t="s">
        <v>52</v>
      </c>
      <c r="C24" s="71">
        <f>D24*G22*12</f>
        <v>10767.960000000001</v>
      </c>
      <c r="D24" s="55">
        <v>0.7</v>
      </c>
      <c r="G24">
        <v>1281.9000000000001</v>
      </c>
    </row>
    <row r="25" spans="1:7" ht="39">
      <c r="A25" s="53" t="s">
        <v>53</v>
      </c>
      <c r="B25" s="97"/>
      <c r="C25" s="71">
        <f>D25*G23*12</f>
        <v>7229.9160000000011</v>
      </c>
      <c r="D25" s="55">
        <v>0.47</v>
      </c>
      <c r="G25">
        <v>1281.9000000000001</v>
      </c>
    </row>
    <row r="26" spans="1:7" ht="39">
      <c r="A26" s="53" t="s">
        <v>54</v>
      </c>
      <c r="B26" s="97"/>
      <c r="C26" s="71">
        <f>D26*G24*12</f>
        <v>17997.876</v>
      </c>
      <c r="D26" s="55">
        <v>1.17</v>
      </c>
      <c r="G26">
        <v>1281.9000000000001</v>
      </c>
    </row>
    <row r="27" spans="1:7" ht="39">
      <c r="A27" s="53" t="s">
        <v>55</v>
      </c>
      <c r="B27" s="97"/>
      <c r="C27" s="71">
        <f>D27*G25*12</f>
        <v>36149.58</v>
      </c>
      <c r="D27" s="55">
        <v>2.35</v>
      </c>
      <c r="G27">
        <v>1281.9000000000001</v>
      </c>
    </row>
    <row r="28" spans="1:7" ht="51.75">
      <c r="A28" s="53" t="s">
        <v>56</v>
      </c>
      <c r="B28" s="97"/>
      <c r="C28" s="71">
        <f>D28*G26*12</f>
        <v>17536.392</v>
      </c>
      <c r="D28" s="55">
        <v>1.1399999999999999</v>
      </c>
      <c r="G28">
        <v>1281.9000000000001</v>
      </c>
    </row>
    <row r="29" spans="1:7" ht="27.75" customHeight="1">
      <c r="A29" s="94" t="s">
        <v>24</v>
      </c>
      <c r="B29" s="95"/>
      <c r="C29" s="96"/>
      <c r="D29" s="54"/>
      <c r="G29">
        <v>1281.9000000000001</v>
      </c>
    </row>
    <row r="30" spans="1:7" ht="26.25">
      <c r="A30" s="53" t="s">
        <v>57</v>
      </c>
      <c r="B30" s="37" t="s">
        <v>58</v>
      </c>
      <c r="C30" s="71">
        <f t="shared" ref="C30:C35" si="0">D30*G28*12</f>
        <v>28304.352000000006</v>
      </c>
      <c r="D30" s="51">
        <v>1.84</v>
      </c>
      <c r="G30">
        <v>1281.9000000000001</v>
      </c>
    </row>
    <row r="31" spans="1:7" ht="77.25">
      <c r="A31" s="53" t="s">
        <v>59</v>
      </c>
      <c r="B31" s="37" t="s">
        <v>58</v>
      </c>
      <c r="C31" s="71">
        <f t="shared" si="0"/>
        <v>40149.108</v>
      </c>
      <c r="D31" s="51">
        <v>2.61</v>
      </c>
      <c r="G31">
        <v>1281.9000000000001</v>
      </c>
    </row>
    <row r="32" spans="1:7" ht="26.25">
      <c r="A32" s="53" t="s">
        <v>60</v>
      </c>
      <c r="B32" s="37" t="s">
        <v>58</v>
      </c>
      <c r="C32" s="71">
        <f t="shared" si="0"/>
        <v>28458.180000000004</v>
      </c>
      <c r="D32" s="51">
        <v>1.85</v>
      </c>
      <c r="G32">
        <v>1281.9000000000001</v>
      </c>
    </row>
    <row r="33" spans="1:7" ht="26.25">
      <c r="A33" s="53" t="s">
        <v>61</v>
      </c>
      <c r="B33" s="37" t="s">
        <v>31</v>
      </c>
      <c r="C33" s="71">
        <f t="shared" si="0"/>
        <v>28919.664000000004</v>
      </c>
      <c r="D33" s="51">
        <v>1.88</v>
      </c>
      <c r="G33">
        <v>1281.9000000000001</v>
      </c>
    </row>
    <row r="34" spans="1:7" ht="64.5">
      <c r="A34" s="53" t="s">
        <v>62</v>
      </c>
      <c r="B34" s="37" t="s">
        <v>63</v>
      </c>
      <c r="C34" s="71">
        <f t="shared" si="0"/>
        <v>14613.66</v>
      </c>
      <c r="D34" s="51">
        <v>0.95</v>
      </c>
      <c r="G34">
        <v>1281.9000000000001</v>
      </c>
    </row>
    <row r="35" spans="1:7" ht="52.5" thickBot="1">
      <c r="A35" s="50" t="s">
        <v>64</v>
      </c>
      <c r="B35" s="49" t="s">
        <v>30</v>
      </c>
      <c r="C35" s="71">
        <f t="shared" si="0"/>
        <v>11075.616000000002</v>
      </c>
      <c r="D35" s="48">
        <v>0.72</v>
      </c>
      <c r="G35">
        <v>1281.9000000000001</v>
      </c>
    </row>
    <row r="36" spans="1:7">
      <c r="A36" s="8" t="s">
        <v>13</v>
      </c>
      <c r="B36" s="12" t="s">
        <v>19</v>
      </c>
      <c r="C36" s="71">
        <f>C35+C34+C33+C32+C31+C30+C28+C27+C26+C25+C24+C22+C21+C20+C19+C18+C17+C16+C15+C14+C13+C12+C11+C10</f>
        <v>311347.87200000003</v>
      </c>
      <c r="D36" s="10">
        <f>D35+D34+D33+D32+D31+D30+D29+D28+D27</f>
        <v>13.34</v>
      </c>
      <c r="G36">
        <v>1281.9000000000001</v>
      </c>
    </row>
    <row r="37" spans="1:7">
      <c r="A37" s="5" t="s">
        <v>14</v>
      </c>
      <c r="B37" s="12" t="s">
        <v>19</v>
      </c>
      <c r="C37" s="12">
        <f>C5-C36</f>
        <v>0</v>
      </c>
      <c r="D37" s="10">
        <f>D23-D36</f>
        <v>-13.34</v>
      </c>
      <c r="G37">
        <v>1281.9000000000001</v>
      </c>
    </row>
    <row r="38" spans="1:7">
      <c r="G38">
        <v>1281.9000000000001</v>
      </c>
    </row>
    <row r="39" spans="1:7">
      <c r="G39">
        <v>1281.9000000000001</v>
      </c>
    </row>
    <row r="40" spans="1:7">
      <c r="G40">
        <v>1281.9000000000001</v>
      </c>
    </row>
    <row r="41" spans="1:7">
      <c r="G41">
        <v>1281.9000000000001</v>
      </c>
    </row>
    <row r="42" spans="1:7">
      <c r="G42">
        <v>1281.9000000000001</v>
      </c>
    </row>
    <row r="43" spans="1:7">
      <c r="G43">
        <v>1281.9000000000001</v>
      </c>
    </row>
    <row r="44" spans="1:7">
      <c r="G44">
        <v>1281.9000000000001</v>
      </c>
    </row>
    <row r="45" spans="1:7">
      <c r="G45">
        <v>1281.9000000000001</v>
      </c>
    </row>
    <row r="46" spans="1:7">
      <c r="G46">
        <v>1281.9000000000001</v>
      </c>
    </row>
    <row r="47" spans="1:7">
      <c r="G47">
        <v>1281.9000000000001</v>
      </c>
    </row>
    <row r="48" spans="1:7">
      <c r="G48">
        <v>1281.9000000000001</v>
      </c>
    </row>
    <row r="49" spans="7:7">
      <c r="G49">
        <v>1281.9000000000001</v>
      </c>
    </row>
    <row r="50" spans="7:7">
      <c r="G50">
        <v>1281.9000000000001</v>
      </c>
    </row>
    <row r="51" spans="7:7">
      <c r="G51">
        <v>1281.9000000000001</v>
      </c>
    </row>
    <row r="52" spans="7:7">
      <c r="G52">
        <v>1281.9000000000001</v>
      </c>
    </row>
    <row r="53" spans="7:7">
      <c r="G53">
        <v>1281.9000000000001</v>
      </c>
    </row>
    <row r="54" spans="7:7">
      <c r="G54">
        <v>1281.9000000000001</v>
      </c>
    </row>
    <row r="55" spans="7:7">
      <c r="G55">
        <v>1281.9000000000001</v>
      </c>
    </row>
    <row r="56" spans="7:7">
      <c r="G56">
        <v>1281.9000000000001</v>
      </c>
    </row>
    <row r="57" spans="7:7">
      <c r="G57">
        <v>1281.9000000000001</v>
      </c>
    </row>
    <row r="58" spans="7:7">
      <c r="G58">
        <v>1281.9000000000001</v>
      </c>
    </row>
    <row r="59" spans="7:7">
      <c r="G59">
        <v>1281.9000000000001</v>
      </c>
    </row>
    <row r="60" spans="7:7">
      <c r="G60">
        <v>1281.9000000000001</v>
      </c>
    </row>
    <row r="61" spans="7:7">
      <c r="G61">
        <v>1281.7</v>
      </c>
    </row>
    <row r="62" spans="7:7">
      <c r="G62">
        <v>1281.7</v>
      </c>
    </row>
  </sheetData>
  <mergeCells count="6">
    <mergeCell ref="A23:C23"/>
    <mergeCell ref="B24:B28"/>
    <mergeCell ref="A29:C29"/>
    <mergeCell ref="A2:E2"/>
    <mergeCell ref="A9:C9"/>
    <mergeCell ref="B10:B22"/>
  </mergeCells>
  <phoneticPr fontId="6" type="noConversion"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>
  <sheetPr>
    <tabColor theme="0"/>
  </sheetPr>
  <dimension ref="A2:G65"/>
  <sheetViews>
    <sheetView topLeftCell="A28" workbookViewId="0">
      <selection activeCell="I35" sqref="I35"/>
    </sheetView>
  </sheetViews>
  <sheetFormatPr defaultRowHeight="15"/>
  <cols>
    <col min="1" max="1" width="54.140625" customWidth="1"/>
    <col min="2" max="2" width="20.85546875" customWidth="1"/>
    <col min="3" max="3" width="22" customWidth="1"/>
    <col min="4" max="4" width="30.42578125" hidden="1" customWidth="1"/>
    <col min="5" max="6" width="0" hidden="1" customWidth="1"/>
    <col min="7" max="7" width="7.140625" hidden="1" customWidth="1"/>
  </cols>
  <sheetData>
    <row r="2" spans="1:7">
      <c r="A2" s="98" t="s">
        <v>74</v>
      </c>
      <c r="B2" s="98"/>
      <c r="C2" s="98"/>
      <c r="D2" s="98"/>
      <c r="E2" s="98"/>
    </row>
    <row r="3" spans="1:7" ht="15.75" thickBot="1"/>
    <row r="4" spans="1:7" ht="38.25">
      <c r="A4" s="67" t="s">
        <v>35</v>
      </c>
      <c r="B4" s="65" t="s">
        <v>36</v>
      </c>
      <c r="C4" s="66" t="s">
        <v>73</v>
      </c>
      <c r="D4" s="65" t="s">
        <v>67</v>
      </c>
    </row>
    <row r="5" spans="1:7">
      <c r="A5" s="64" t="s">
        <v>72</v>
      </c>
      <c r="B5" s="60" t="s">
        <v>68</v>
      </c>
      <c r="C5" s="69">
        <f>C10+C11+C12+C13+C14+C15+C16+C17+C18+C19+C20+C21+C22+C24+C25+C26+C27+C28+C30+C31+C32+C33+C34+C35</f>
        <v>311347.87199999997</v>
      </c>
      <c r="D5" s="47"/>
    </row>
    <row r="6" spans="1:7">
      <c r="A6" s="63" t="s">
        <v>71</v>
      </c>
      <c r="B6" s="60"/>
      <c r="C6" s="69"/>
      <c r="D6" s="47"/>
    </row>
    <row r="7" spans="1:7">
      <c r="A7" s="61" t="s">
        <v>4</v>
      </c>
      <c r="B7" s="60" t="s">
        <v>68</v>
      </c>
      <c r="C7" s="70">
        <f>C10+C11+C12+C13+C14+C15+C16+C17+C18+C19+C20+C21+C22+C24+C25+C26+C27+C28+C30+C31+C32+C33+C34+C35</f>
        <v>311347.87199999997</v>
      </c>
      <c r="D7" s="47"/>
      <c r="G7">
        <v>1281.9000000000001</v>
      </c>
    </row>
    <row r="8" spans="1:7">
      <c r="A8" s="59"/>
      <c r="B8" s="58"/>
      <c r="C8" s="57"/>
      <c r="D8" s="47"/>
    </row>
    <row r="9" spans="1:7" ht="44.25" customHeight="1">
      <c r="A9" s="94" t="s">
        <v>22</v>
      </c>
      <c r="B9" s="95"/>
      <c r="C9" s="96"/>
      <c r="D9" s="54"/>
      <c r="G9">
        <v>1281.9000000000001</v>
      </c>
    </row>
    <row r="10" spans="1:7">
      <c r="A10" s="53" t="s">
        <v>37</v>
      </c>
      <c r="B10" s="97" t="s">
        <v>70</v>
      </c>
      <c r="C10" s="71">
        <f>D10*G7*12</f>
        <v>1692.1080000000002</v>
      </c>
      <c r="D10" s="51">
        <v>0.11</v>
      </c>
      <c r="G10">
        <v>1281.9000000000001</v>
      </c>
    </row>
    <row r="11" spans="1:7">
      <c r="A11" s="53" t="s">
        <v>39</v>
      </c>
      <c r="B11" s="97"/>
      <c r="C11" s="71">
        <f>D11*G7*12</f>
        <v>3538.0440000000008</v>
      </c>
      <c r="D11" s="51">
        <v>0.23</v>
      </c>
      <c r="G11">
        <v>1281.9000000000001</v>
      </c>
    </row>
    <row r="12" spans="1:7" ht="26.25">
      <c r="A12" s="53" t="s">
        <v>40</v>
      </c>
      <c r="B12" s="97"/>
      <c r="C12" s="71">
        <f>D12*12*G7</f>
        <v>6922.2600000000011</v>
      </c>
      <c r="D12" s="51">
        <v>0.45</v>
      </c>
      <c r="G12">
        <v>1281.9000000000001</v>
      </c>
    </row>
    <row r="13" spans="1:7" ht="26.25">
      <c r="A13" s="53" t="s">
        <v>41</v>
      </c>
      <c r="B13" s="97"/>
      <c r="C13" s="71">
        <f>D13*12*G7</f>
        <v>1538.2800000000004</v>
      </c>
      <c r="D13" s="51">
        <v>0.1</v>
      </c>
      <c r="G13">
        <v>1281.9000000000001</v>
      </c>
    </row>
    <row r="14" spans="1:7" ht="26.25">
      <c r="A14" s="53" t="s">
        <v>42</v>
      </c>
      <c r="B14" s="97"/>
      <c r="C14" s="71">
        <f>D14*12*G7</f>
        <v>1538.2800000000004</v>
      </c>
      <c r="D14" s="51">
        <v>0.1</v>
      </c>
      <c r="G14">
        <v>1281.9000000000001</v>
      </c>
    </row>
    <row r="15" spans="1:7" ht="26.25">
      <c r="A15" s="53" t="s">
        <v>43</v>
      </c>
      <c r="B15" s="97"/>
      <c r="C15" s="71">
        <f>D15*12*G7</f>
        <v>922.96800000000007</v>
      </c>
      <c r="D15" s="51">
        <v>0.06</v>
      </c>
      <c r="G15">
        <v>1281.9000000000001</v>
      </c>
    </row>
    <row r="16" spans="1:7" ht="26.25">
      <c r="A16" s="53" t="s">
        <v>44</v>
      </c>
      <c r="B16" s="97"/>
      <c r="C16" s="71">
        <f>D16*12*G7</f>
        <v>13998.348000000002</v>
      </c>
      <c r="D16" s="51">
        <v>0.91</v>
      </c>
      <c r="G16">
        <v>1281.9000000000001</v>
      </c>
    </row>
    <row r="17" spans="1:7" ht="26.25">
      <c r="A17" s="53" t="s">
        <v>45</v>
      </c>
      <c r="B17" s="97"/>
      <c r="C17" s="71">
        <f>D17*12*G7</f>
        <v>3230.3880000000004</v>
      </c>
      <c r="D17" s="51">
        <v>0.21</v>
      </c>
      <c r="G17">
        <v>1281.9000000000001</v>
      </c>
    </row>
    <row r="18" spans="1:7" ht="26.25">
      <c r="A18" s="53" t="s">
        <v>46</v>
      </c>
      <c r="B18" s="97"/>
      <c r="C18" s="71">
        <f>D18*G16*12</f>
        <v>21074.436000000002</v>
      </c>
      <c r="D18" s="51">
        <v>1.37</v>
      </c>
      <c r="G18">
        <v>1281.9000000000001</v>
      </c>
    </row>
    <row r="19" spans="1:7" ht="26.25">
      <c r="A19" s="53" t="s">
        <v>47</v>
      </c>
      <c r="B19" s="97"/>
      <c r="C19" s="52">
        <f>D19*G17*12</f>
        <v>615.31200000000001</v>
      </c>
      <c r="D19" s="51">
        <v>0.04</v>
      </c>
      <c r="G19">
        <v>1281.9000000000001</v>
      </c>
    </row>
    <row r="20" spans="1:7" ht="90">
      <c r="A20" s="53" t="s">
        <v>69</v>
      </c>
      <c r="B20" s="97"/>
      <c r="C20" s="52">
        <f>D20*G18*12</f>
        <v>9998.8200000000015</v>
      </c>
      <c r="D20" s="51">
        <v>0.65</v>
      </c>
      <c r="G20">
        <v>1281.9000000000001</v>
      </c>
    </row>
    <row r="21" spans="1:7" ht="51.75">
      <c r="A21" s="53" t="s">
        <v>49</v>
      </c>
      <c r="B21" s="97"/>
      <c r="C21" s="71">
        <f>D21*G19*12</f>
        <v>1845.9360000000001</v>
      </c>
      <c r="D21" s="51">
        <v>0.12</v>
      </c>
      <c r="G21">
        <v>1281.9000000000001</v>
      </c>
    </row>
    <row r="22" spans="1:7" ht="39">
      <c r="A22" s="53" t="s">
        <v>50</v>
      </c>
      <c r="B22" s="97"/>
      <c r="C22" s="71">
        <f>D22*G20*12</f>
        <v>3230.3879999999999</v>
      </c>
      <c r="D22" s="51">
        <v>0.21</v>
      </c>
      <c r="G22">
        <v>1281.9000000000001</v>
      </c>
    </row>
    <row r="23" spans="1:7" ht="27" customHeight="1">
      <c r="A23" s="99" t="s">
        <v>23</v>
      </c>
      <c r="B23" s="100"/>
      <c r="C23" s="101"/>
      <c r="D23" s="56"/>
      <c r="G23">
        <v>1281.9000000000001</v>
      </c>
    </row>
    <row r="24" spans="1:7" ht="26.25">
      <c r="A24" s="53" t="s">
        <v>51</v>
      </c>
      <c r="B24" s="97" t="s">
        <v>52</v>
      </c>
      <c r="C24" s="52">
        <f>D24*G22*12</f>
        <v>10767.960000000001</v>
      </c>
      <c r="D24" s="55">
        <v>0.7</v>
      </c>
      <c r="G24">
        <v>1281.9000000000001</v>
      </c>
    </row>
    <row r="25" spans="1:7" ht="39">
      <c r="A25" s="53" t="s">
        <v>53</v>
      </c>
      <c r="B25" s="97"/>
      <c r="C25" s="71">
        <f>D25*G23*12</f>
        <v>7229.9160000000011</v>
      </c>
      <c r="D25" s="55">
        <v>0.47</v>
      </c>
      <c r="G25">
        <v>1281.9000000000001</v>
      </c>
    </row>
    <row r="26" spans="1:7" ht="39">
      <c r="A26" s="53" t="s">
        <v>54</v>
      </c>
      <c r="B26" s="97"/>
      <c r="C26" s="71">
        <f>D26*G24*12</f>
        <v>17997.876</v>
      </c>
      <c r="D26" s="55">
        <v>1.17</v>
      </c>
      <c r="G26">
        <v>1281.9000000000001</v>
      </c>
    </row>
    <row r="27" spans="1:7" ht="39">
      <c r="A27" s="53" t="s">
        <v>55</v>
      </c>
      <c r="B27" s="97"/>
      <c r="C27" s="71">
        <f>D27*G25*12</f>
        <v>36149.58</v>
      </c>
      <c r="D27" s="55">
        <v>2.35</v>
      </c>
      <c r="G27">
        <v>1281.9000000000001</v>
      </c>
    </row>
    <row r="28" spans="1:7" ht="51.75">
      <c r="A28" s="53" t="s">
        <v>56</v>
      </c>
      <c r="B28" s="97"/>
      <c r="C28" s="71">
        <f>D28*G26*12</f>
        <v>17536.392</v>
      </c>
      <c r="D28" s="55">
        <v>1.1399999999999999</v>
      </c>
      <c r="G28">
        <v>1281.9000000000001</v>
      </c>
    </row>
    <row r="29" spans="1:7" ht="27.75" customHeight="1">
      <c r="A29" s="94" t="s">
        <v>24</v>
      </c>
      <c r="B29" s="95"/>
      <c r="C29" s="96"/>
      <c r="D29" s="54"/>
      <c r="G29">
        <v>1281.9000000000001</v>
      </c>
    </row>
    <row r="30" spans="1:7" ht="26.25">
      <c r="A30" s="53" t="s">
        <v>57</v>
      </c>
      <c r="B30" s="37" t="s">
        <v>58</v>
      </c>
      <c r="C30" s="71">
        <f t="shared" ref="C30:C35" si="0">D30*G28*12</f>
        <v>28304.352000000006</v>
      </c>
      <c r="D30" s="51">
        <v>1.84</v>
      </c>
      <c r="G30">
        <v>1281.9000000000001</v>
      </c>
    </row>
    <row r="31" spans="1:7" ht="77.25">
      <c r="A31" s="53" t="s">
        <v>59</v>
      </c>
      <c r="B31" s="37" t="s">
        <v>58</v>
      </c>
      <c r="C31" s="71">
        <f t="shared" si="0"/>
        <v>40149.108</v>
      </c>
      <c r="D31" s="51">
        <v>2.61</v>
      </c>
      <c r="G31">
        <v>1281.9000000000001</v>
      </c>
    </row>
    <row r="32" spans="1:7" ht="26.25">
      <c r="A32" s="53" t="s">
        <v>60</v>
      </c>
      <c r="B32" s="37" t="s">
        <v>58</v>
      </c>
      <c r="C32" s="71">
        <f t="shared" si="0"/>
        <v>28458.180000000004</v>
      </c>
      <c r="D32" s="51">
        <v>1.85</v>
      </c>
      <c r="G32">
        <v>1281.9000000000001</v>
      </c>
    </row>
    <row r="33" spans="1:7" ht="26.25">
      <c r="A33" s="53" t="s">
        <v>61</v>
      </c>
      <c r="B33" s="37" t="s">
        <v>31</v>
      </c>
      <c r="C33" s="71">
        <f t="shared" si="0"/>
        <v>28919.664000000004</v>
      </c>
      <c r="D33" s="51">
        <v>1.88</v>
      </c>
      <c r="G33">
        <v>1281.9000000000001</v>
      </c>
    </row>
    <row r="34" spans="1:7" ht="64.5">
      <c r="A34" s="53" t="s">
        <v>62</v>
      </c>
      <c r="B34" s="37" t="s">
        <v>63</v>
      </c>
      <c r="C34" s="71">
        <f t="shared" si="0"/>
        <v>14613.66</v>
      </c>
      <c r="D34" s="51">
        <v>0.95</v>
      </c>
      <c r="G34">
        <v>1281.9000000000001</v>
      </c>
    </row>
    <row r="35" spans="1:7" ht="52.5" thickBot="1">
      <c r="A35" s="50" t="s">
        <v>64</v>
      </c>
      <c r="B35" s="49" t="s">
        <v>30</v>
      </c>
      <c r="C35" s="71">
        <f t="shared" si="0"/>
        <v>11075.616000000002</v>
      </c>
      <c r="D35" s="48">
        <v>0.72</v>
      </c>
      <c r="G35">
        <v>1281.9000000000001</v>
      </c>
    </row>
    <row r="36" spans="1:7">
      <c r="A36" s="8" t="s">
        <v>13</v>
      </c>
      <c r="B36" s="12" t="s">
        <v>19</v>
      </c>
      <c r="C36" s="71">
        <f>C35+C34+C33+C32+C31+C30+C28+C27+C26+C25+C24+C22+C21+C20+C19+C18+C17+C16+C15+C14+C13+C12+C11+C10</f>
        <v>311347.87200000003</v>
      </c>
      <c r="D36" s="10">
        <f>D35+D34+D33+D32+D31+D30+D29+D28+D27</f>
        <v>13.34</v>
      </c>
      <c r="G36">
        <v>1281.9000000000001</v>
      </c>
    </row>
    <row r="37" spans="1:7">
      <c r="A37" s="5" t="s">
        <v>14</v>
      </c>
      <c r="B37" s="12" t="s">
        <v>19</v>
      </c>
      <c r="C37" s="12">
        <f>C5-C36</f>
        <v>0</v>
      </c>
      <c r="D37" s="10">
        <f>D23-D36</f>
        <v>-13.34</v>
      </c>
      <c r="G37">
        <v>1281.9000000000001</v>
      </c>
    </row>
    <row r="38" spans="1:7">
      <c r="G38">
        <v>1281.9000000000001</v>
      </c>
    </row>
    <row r="39" spans="1:7">
      <c r="G39">
        <v>1281.9000000000001</v>
      </c>
    </row>
    <row r="40" spans="1:7">
      <c r="G40">
        <v>1281.9000000000001</v>
      </c>
    </row>
    <row r="41" spans="1:7">
      <c r="G41">
        <v>1281.9000000000001</v>
      </c>
    </row>
    <row r="42" spans="1:7">
      <c r="G42">
        <v>1281.9000000000001</v>
      </c>
    </row>
    <row r="43" spans="1:7">
      <c r="G43">
        <v>1281.9000000000001</v>
      </c>
    </row>
    <row r="44" spans="1:7">
      <c r="G44">
        <v>1281.9000000000001</v>
      </c>
    </row>
    <row r="45" spans="1:7">
      <c r="G45">
        <v>1281.9000000000001</v>
      </c>
    </row>
    <row r="46" spans="1:7">
      <c r="G46">
        <v>1281.9000000000001</v>
      </c>
    </row>
    <row r="47" spans="1:7">
      <c r="G47">
        <v>1281.9000000000001</v>
      </c>
    </row>
    <row r="48" spans="1:7">
      <c r="G48">
        <v>1281.9000000000001</v>
      </c>
    </row>
    <row r="49" spans="7:7">
      <c r="G49">
        <v>1281.9000000000001</v>
      </c>
    </row>
    <row r="50" spans="7:7">
      <c r="G50">
        <v>1281.9000000000001</v>
      </c>
    </row>
    <row r="51" spans="7:7">
      <c r="G51">
        <v>1281.9000000000001</v>
      </c>
    </row>
    <row r="52" spans="7:7">
      <c r="G52">
        <v>1281.9000000000001</v>
      </c>
    </row>
    <row r="53" spans="7:7">
      <c r="G53">
        <v>1281.9000000000001</v>
      </c>
    </row>
    <row r="54" spans="7:7">
      <c r="G54">
        <v>1281.9000000000001</v>
      </c>
    </row>
    <row r="55" spans="7:7">
      <c r="G55">
        <v>1281.9000000000001</v>
      </c>
    </row>
    <row r="56" spans="7:7">
      <c r="G56">
        <v>1281.9000000000001</v>
      </c>
    </row>
    <row r="57" spans="7:7">
      <c r="G57">
        <v>1281.9000000000001</v>
      </c>
    </row>
    <row r="58" spans="7:7">
      <c r="G58">
        <v>1281.9000000000001</v>
      </c>
    </row>
    <row r="59" spans="7:7">
      <c r="G59">
        <v>1281.9000000000001</v>
      </c>
    </row>
    <row r="60" spans="7:7">
      <c r="G60">
        <v>1281.9000000000001</v>
      </c>
    </row>
    <row r="61" spans="7:7">
      <c r="G61">
        <v>1281.9000000000001</v>
      </c>
    </row>
    <row r="62" spans="7:7">
      <c r="G62">
        <v>1281.9000000000001</v>
      </c>
    </row>
    <row r="63" spans="7:7">
      <c r="G63">
        <v>1281.9000000000001</v>
      </c>
    </row>
    <row r="64" spans="7:7">
      <c r="G64">
        <v>1281.9000000000001</v>
      </c>
    </row>
    <row r="65" spans="7:7">
      <c r="G65">
        <v>1281.9000000000001</v>
      </c>
    </row>
  </sheetData>
  <mergeCells count="6">
    <mergeCell ref="A23:C23"/>
    <mergeCell ref="B24:B28"/>
    <mergeCell ref="A29:C29"/>
    <mergeCell ref="A2:E2"/>
    <mergeCell ref="A9:C9"/>
    <mergeCell ref="B10:B22"/>
  </mergeCells>
  <phoneticPr fontId="6" type="noConversion"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>
  <sheetPr>
    <tabColor theme="0"/>
  </sheetPr>
  <dimension ref="A2:G62"/>
  <sheetViews>
    <sheetView topLeftCell="A28" workbookViewId="0">
      <selection activeCell="N31" sqref="N31"/>
    </sheetView>
  </sheetViews>
  <sheetFormatPr defaultRowHeight="15"/>
  <cols>
    <col min="1" max="1" width="54.140625" customWidth="1"/>
    <col min="2" max="2" width="20.85546875" customWidth="1"/>
    <col min="3" max="3" width="22" customWidth="1"/>
    <col min="4" max="4" width="30.42578125" hidden="1" customWidth="1"/>
    <col min="5" max="6" width="0" hidden="1" customWidth="1"/>
    <col min="7" max="7" width="8.85546875" hidden="1" customWidth="1"/>
  </cols>
  <sheetData>
    <row r="2" spans="1:7">
      <c r="A2" s="98" t="s">
        <v>74</v>
      </c>
      <c r="B2" s="98"/>
      <c r="C2" s="98"/>
      <c r="D2" s="98"/>
      <c r="E2" s="98"/>
    </row>
    <row r="3" spans="1:7" ht="15.75" thickBot="1"/>
    <row r="4" spans="1:7" ht="38.25">
      <c r="A4" s="67" t="s">
        <v>35</v>
      </c>
      <c r="B4" s="65" t="s">
        <v>36</v>
      </c>
      <c r="C4" s="66" t="s">
        <v>73</v>
      </c>
      <c r="D4" s="65" t="s">
        <v>67</v>
      </c>
    </row>
    <row r="5" spans="1:7">
      <c r="A5" s="64" t="s">
        <v>72</v>
      </c>
      <c r="B5" s="60" t="s">
        <v>68</v>
      </c>
      <c r="C5" s="69">
        <f>C10+C11+C12+C13+C14+C15+C16+C17+C18+C19+C20+C21+C22+C24+C25+C26+C27+C28+C30+C31+C32+C33+C34+C35</f>
        <v>155758.94399999999</v>
      </c>
      <c r="D5" s="47"/>
    </row>
    <row r="6" spans="1:7">
      <c r="A6" s="63" t="s">
        <v>71</v>
      </c>
      <c r="B6" s="60"/>
      <c r="C6" s="69"/>
      <c r="D6" s="47"/>
    </row>
    <row r="7" spans="1:7">
      <c r="A7" s="61" t="s">
        <v>4</v>
      </c>
      <c r="B7" s="60" t="s">
        <v>68</v>
      </c>
      <c r="C7" s="70">
        <f>C10+C11+C12+C13+C14+C15+C16+C17+C18+C19+C20+C21+C22+C24+C25+C26+C27+C28+C30+C31+C32+C33+C34+C35</f>
        <v>155758.94399999999</v>
      </c>
      <c r="D7" s="47"/>
      <c r="G7">
        <v>641.29999999999995</v>
      </c>
    </row>
    <row r="8" spans="1:7">
      <c r="A8" s="59"/>
      <c r="B8" s="58"/>
      <c r="C8" s="57"/>
      <c r="D8" s="47"/>
    </row>
    <row r="9" spans="1:7" ht="44.25" customHeight="1">
      <c r="A9" s="94" t="s">
        <v>22</v>
      </c>
      <c r="B9" s="95"/>
      <c r="C9" s="96"/>
      <c r="D9" s="54"/>
      <c r="G9">
        <v>641.29999999999995</v>
      </c>
    </row>
    <row r="10" spans="1:7">
      <c r="A10" s="53" t="s">
        <v>37</v>
      </c>
      <c r="B10" s="97" t="s">
        <v>70</v>
      </c>
      <c r="C10" s="71">
        <f>D10*G7*12</f>
        <v>846.51599999999985</v>
      </c>
      <c r="D10" s="51">
        <v>0.11</v>
      </c>
      <c r="G10">
        <v>641.29999999999995</v>
      </c>
    </row>
    <row r="11" spans="1:7">
      <c r="A11" s="53" t="s">
        <v>39</v>
      </c>
      <c r="B11" s="97"/>
      <c r="C11" s="71">
        <f>D11*G7*12</f>
        <v>1769.9879999999998</v>
      </c>
      <c r="D11" s="51">
        <v>0.23</v>
      </c>
      <c r="G11">
        <v>641.29999999999995</v>
      </c>
    </row>
    <row r="12" spans="1:7" ht="26.25">
      <c r="A12" s="53" t="s">
        <v>40</v>
      </c>
      <c r="B12" s="97"/>
      <c r="C12" s="71">
        <f>D12*12*G7</f>
        <v>3463.02</v>
      </c>
      <c r="D12" s="51">
        <v>0.45</v>
      </c>
      <c r="G12">
        <v>641.29999999999995</v>
      </c>
    </row>
    <row r="13" spans="1:7" ht="26.25">
      <c r="A13" s="53" t="s">
        <v>41</v>
      </c>
      <c r="B13" s="97"/>
      <c r="C13" s="71">
        <f>D13*12*G7</f>
        <v>769.56000000000006</v>
      </c>
      <c r="D13" s="51">
        <v>0.1</v>
      </c>
      <c r="G13">
        <v>641.29999999999995</v>
      </c>
    </row>
    <row r="14" spans="1:7" ht="26.25">
      <c r="A14" s="53" t="s">
        <v>42</v>
      </c>
      <c r="B14" s="97"/>
      <c r="C14" s="71">
        <f>D14*12*G7</f>
        <v>769.56000000000006</v>
      </c>
      <c r="D14" s="51">
        <v>0.1</v>
      </c>
      <c r="G14">
        <v>641.29999999999995</v>
      </c>
    </row>
    <row r="15" spans="1:7" ht="26.25">
      <c r="A15" s="53" t="s">
        <v>43</v>
      </c>
      <c r="B15" s="97"/>
      <c r="C15" s="71">
        <f>D15*12*G7</f>
        <v>461.73599999999993</v>
      </c>
      <c r="D15" s="51">
        <v>0.06</v>
      </c>
      <c r="G15">
        <v>641.29999999999995</v>
      </c>
    </row>
    <row r="16" spans="1:7" ht="26.25">
      <c r="A16" s="53" t="s">
        <v>44</v>
      </c>
      <c r="B16" s="97"/>
      <c r="C16" s="71">
        <f>D16*12*G7</f>
        <v>7002.9959999999992</v>
      </c>
      <c r="D16" s="51">
        <v>0.91</v>
      </c>
      <c r="G16">
        <v>641.29999999999995</v>
      </c>
    </row>
    <row r="17" spans="1:7" ht="26.25">
      <c r="A17" s="53" t="s">
        <v>45</v>
      </c>
      <c r="B17" s="97"/>
      <c r="C17" s="71">
        <f>D17*12*G7</f>
        <v>1616.0759999999998</v>
      </c>
      <c r="D17" s="51">
        <v>0.21</v>
      </c>
      <c r="G17">
        <v>641.29999999999995</v>
      </c>
    </row>
    <row r="18" spans="1:7" ht="26.25">
      <c r="A18" s="53" t="s">
        <v>46</v>
      </c>
      <c r="B18" s="97"/>
      <c r="C18" s="71">
        <f>D18*G16*12</f>
        <v>10542.972</v>
      </c>
      <c r="D18" s="51">
        <v>1.37</v>
      </c>
      <c r="G18">
        <v>641.29999999999995</v>
      </c>
    </row>
    <row r="19" spans="1:7" ht="26.25">
      <c r="A19" s="53" t="s">
        <v>47</v>
      </c>
      <c r="B19" s="97"/>
      <c r="C19" s="71">
        <f>D19*G17*12</f>
        <v>307.82399999999996</v>
      </c>
      <c r="D19" s="51">
        <v>0.04</v>
      </c>
      <c r="G19">
        <v>641.29999999999995</v>
      </c>
    </row>
    <row r="20" spans="1:7" ht="90">
      <c r="A20" s="53" t="s">
        <v>69</v>
      </c>
      <c r="B20" s="97"/>
      <c r="C20" s="71">
        <f>D20*G18*12</f>
        <v>5002.1399999999994</v>
      </c>
      <c r="D20" s="51">
        <v>0.65</v>
      </c>
      <c r="G20">
        <v>641.29999999999995</v>
      </c>
    </row>
    <row r="21" spans="1:7" ht="51.75">
      <c r="A21" s="53" t="s">
        <v>49</v>
      </c>
      <c r="B21" s="97"/>
      <c r="C21" s="71">
        <f>D21*G19*12</f>
        <v>923.47199999999987</v>
      </c>
      <c r="D21" s="51">
        <v>0.12</v>
      </c>
      <c r="G21">
        <v>641.29999999999995</v>
      </c>
    </row>
    <row r="22" spans="1:7" ht="39">
      <c r="A22" s="53" t="s">
        <v>50</v>
      </c>
      <c r="B22" s="97"/>
      <c r="C22" s="71">
        <f>D22*G20*12</f>
        <v>1616.0759999999996</v>
      </c>
      <c r="D22" s="51">
        <v>0.21</v>
      </c>
      <c r="G22">
        <v>641.29999999999995</v>
      </c>
    </row>
    <row r="23" spans="1:7" ht="27" customHeight="1">
      <c r="A23" s="99" t="s">
        <v>23</v>
      </c>
      <c r="B23" s="100"/>
      <c r="C23" s="101"/>
      <c r="D23" s="56"/>
      <c r="G23">
        <v>641.29999999999995</v>
      </c>
    </row>
    <row r="24" spans="1:7" ht="26.25">
      <c r="A24" s="53" t="s">
        <v>51</v>
      </c>
      <c r="B24" s="97" t="s">
        <v>52</v>
      </c>
      <c r="C24" s="52">
        <f>D24*G22*12</f>
        <v>5386.9199999999992</v>
      </c>
      <c r="D24" s="55">
        <v>0.7</v>
      </c>
      <c r="G24">
        <v>641.29999999999995</v>
      </c>
    </row>
    <row r="25" spans="1:7" ht="39">
      <c r="A25" s="53" t="s">
        <v>53</v>
      </c>
      <c r="B25" s="97"/>
      <c r="C25" s="71">
        <f>D25*G23*12</f>
        <v>3616.9319999999993</v>
      </c>
      <c r="D25" s="55">
        <v>0.47</v>
      </c>
      <c r="G25">
        <v>641.29999999999995</v>
      </c>
    </row>
    <row r="26" spans="1:7" ht="39">
      <c r="A26" s="53" t="s">
        <v>54</v>
      </c>
      <c r="B26" s="97"/>
      <c r="C26" s="71">
        <f>D26*G24*12</f>
        <v>9003.851999999999</v>
      </c>
      <c r="D26" s="55">
        <v>1.17</v>
      </c>
      <c r="G26">
        <v>641.29999999999995</v>
      </c>
    </row>
    <row r="27" spans="1:7" ht="39">
      <c r="A27" s="53" t="s">
        <v>55</v>
      </c>
      <c r="B27" s="97"/>
      <c r="C27" s="71">
        <f>D27*G25*12</f>
        <v>18084.66</v>
      </c>
      <c r="D27" s="55">
        <v>2.35</v>
      </c>
      <c r="G27">
        <v>641.29999999999995</v>
      </c>
    </row>
    <row r="28" spans="1:7" ht="51.75">
      <c r="A28" s="53" t="s">
        <v>56</v>
      </c>
      <c r="B28" s="97"/>
      <c r="C28" s="71">
        <f>D28*G26*12</f>
        <v>8772.9839999999986</v>
      </c>
      <c r="D28" s="55">
        <v>1.1399999999999999</v>
      </c>
      <c r="G28">
        <v>641.29999999999995</v>
      </c>
    </row>
    <row r="29" spans="1:7" ht="27.75" customHeight="1">
      <c r="A29" s="94" t="s">
        <v>24</v>
      </c>
      <c r="B29" s="95"/>
      <c r="C29" s="96"/>
      <c r="D29" s="54"/>
      <c r="G29">
        <v>641.29999999999995</v>
      </c>
    </row>
    <row r="30" spans="1:7" ht="26.25">
      <c r="A30" s="53" t="s">
        <v>57</v>
      </c>
      <c r="B30" s="37" t="s">
        <v>58</v>
      </c>
      <c r="C30" s="71">
        <f t="shared" ref="C30:C35" si="0">D30*G28*12</f>
        <v>14159.903999999999</v>
      </c>
      <c r="D30" s="51">
        <v>1.84</v>
      </c>
      <c r="G30">
        <v>641.29999999999995</v>
      </c>
    </row>
    <row r="31" spans="1:7" ht="77.25">
      <c r="A31" s="53" t="s">
        <v>59</v>
      </c>
      <c r="B31" s="37" t="s">
        <v>58</v>
      </c>
      <c r="C31" s="71">
        <f t="shared" si="0"/>
        <v>20085.516</v>
      </c>
      <c r="D31" s="51">
        <v>2.61</v>
      </c>
      <c r="G31">
        <v>641.29999999999995</v>
      </c>
    </row>
    <row r="32" spans="1:7" ht="26.25">
      <c r="A32" s="53" t="s">
        <v>60</v>
      </c>
      <c r="B32" s="37" t="s">
        <v>58</v>
      </c>
      <c r="C32" s="71">
        <f t="shared" si="0"/>
        <v>14236.86</v>
      </c>
      <c r="D32" s="51">
        <v>1.85</v>
      </c>
      <c r="G32">
        <v>641.29999999999995</v>
      </c>
    </row>
    <row r="33" spans="1:7" ht="26.25">
      <c r="A33" s="53" t="s">
        <v>61</v>
      </c>
      <c r="B33" s="37" t="s">
        <v>31</v>
      </c>
      <c r="C33" s="71">
        <f t="shared" si="0"/>
        <v>14467.727999999997</v>
      </c>
      <c r="D33" s="51">
        <v>1.88</v>
      </c>
      <c r="G33">
        <v>641.29999999999995</v>
      </c>
    </row>
    <row r="34" spans="1:7" ht="64.5">
      <c r="A34" s="53" t="s">
        <v>62</v>
      </c>
      <c r="B34" s="37" t="s">
        <v>63</v>
      </c>
      <c r="C34" s="71">
        <f t="shared" si="0"/>
        <v>7310.8199999999988</v>
      </c>
      <c r="D34" s="51">
        <v>0.95</v>
      </c>
      <c r="G34">
        <v>641.29999999999995</v>
      </c>
    </row>
    <row r="35" spans="1:7" ht="52.5" thickBot="1">
      <c r="A35" s="50" t="s">
        <v>64</v>
      </c>
      <c r="B35" s="49" t="s">
        <v>30</v>
      </c>
      <c r="C35" s="72">
        <f t="shared" si="0"/>
        <v>5540.8319999999994</v>
      </c>
      <c r="D35" s="48">
        <v>0.72</v>
      </c>
      <c r="G35">
        <v>641.29999999999995</v>
      </c>
    </row>
    <row r="36" spans="1:7">
      <c r="A36" s="8" t="s">
        <v>13</v>
      </c>
      <c r="B36" s="12" t="s">
        <v>19</v>
      </c>
      <c r="C36" s="70">
        <f>C35+C34+C33+C32+C31+C30+C28+C27+C26+C25+C24+C22+C21+C20+C19+C18+C17+C16+C15+C14+C13+C12+C11+C10</f>
        <v>155758.94399999996</v>
      </c>
      <c r="D36" s="10">
        <f>D35+D34+D33+D32+D31+D30+D29+D28+D27</f>
        <v>13.34</v>
      </c>
      <c r="G36">
        <v>641.29999999999995</v>
      </c>
    </row>
    <row r="37" spans="1:7">
      <c r="A37" s="5" t="s">
        <v>14</v>
      </c>
      <c r="B37" s="12" t="s">
        <v>19</v>
      </c>
      <c r="C37" s="12">
        <f>C5-C36</f>
        <v>0</v>
      </c>
      <c r="D37" s="10">
        <f>D23-D36</f>
        <v>-13.34</v>
      </c>
      <c r="G37">
        <v>641.29999999999995</v>
      </c>
    </row>
    <row r="38" spans="1:7">
      <c r="G38">
        <v>641.29999999999995</v>
      </c>
    </row>
    <row r="39" spans="1:7">
      <c r="G39">
        <v>641.29999999999995</v>
      </c>
    </row>
    <row r="40" spans="1:7">
      <c r="G40">
        <v>641.29999999999995</v>
      </c>
    </row>
    <row r="41" spans="1:7">
      <c r="G41">
        <v>641.29999999999995</v>
      </c>
    </row>
    <row r="42" spans="1:7">
      <c r="G42">
        <v>641.29999999999995</v>
      </c>
    </row>
    <row r="43" spans="1:7">
      <c r="G43">
        <v>641.29999999999995</v>
      </c>
    </row>
    <row r="44" spans="1:7">
      <c r="G44">
        <v>641.29999999999995</v>
      </c>
    </row>
    <row r="45" spans="1:7">
      <c r="G45">
        <v>641.29999999999995</v>
      </c>
    </row>
    <row r="46" spans="1:7">
      <c r="G46">
        <v>641.29999999999995</v>
      </c>
    </row>
    <row r="47" spans="1:7">
      <c r="G47">
        <v>641.29999999999995</v>
      </c>
    </row>
    <row r="48" spans="1:7">
      <c r="G48">
        <v>641.29999999999995</v>
      </c>
    </row>
    <row r="49" spans="7:7">
      <c r="G49">
        <v>1281.7</v>
      </c>
    </row>
    <row r="50" spans="7:7">
      <c r="G50">
        <v>1281.7</v>
      </c>
    </row>
    <row r="51" spans="7:7">
      <c r="G51">
        <v>1281.7</v>
      </c>
    </row>
    <row r="52" spans="7:7">
      <c r="G52">
        <v>1281.7</v>
      </c>
    </row>
    <row r="53" spans="7:7">
      <c r="G53">
        <v>1281.7</v>
      </c>
    </row>
    <row r="54" spans="7:7">
      <c r="G54">
        <v>1281.7</v>
      </c>
    </row>
    <row r="55" spans="7:7">
      <c r="G55">
        <v>1281.7</v>
      </c>
    </row>
    <row r="56" spans="7:7">
      <c r="G56">
        <v>1281.7</v>
      </c>
    </row>
    <row r="57" spans="7:7">
      <c r="G57">
        <v>1281.7</v>
      </c>
    </row>
    <row r="58" spans="7:7">
      <c r="G58">
        <v>1281.7</v>
      </c>
    </row>
    <row r="59" spans="7:7">
      <c r="G59">
        <v>1281.7</v>
      </c>
    </row>
    <row r="60" spans="7:7">
      <c r="G60">
        <v>1281.7</v>
      </c>
    </row>
    <row r="61" spans="7:7">
      <c r="G61">
        <v>1281.7</v>
      </c>
    </row>
    <row r="62" spans="7:7">
      <c r="G62">
        <v>1281.7</v>
      </c>
    </row>
  </sheetData>
  <mergeCells count="6">
    <mergeCell ref="A23:C23"/>
    <mergeCell ref="B24:B28"/>
    <mergeCell ref="A29:C29"/>
    <mergeCell ref="A2:E2"/>
    <mergeCell ref="A9:C9"/>
    <mergeCell ref="B10:B22"/>
  </mergeCells>
  <phoneticPr fontId="6" type="noConversion"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855468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131963.10000000003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822.2*6*20.67</f>
        <v>101969.24400000002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822.2*6.08*6</f>
        <v>29993.856000000003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822.2*6*2.38</f>
        <v>11741.016000000001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822.2*6*4.82</f>
        <v>23778.024000000005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822.2*6*2.29</f>
        <v>11297.028000000002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822.2*6*3.4</f>
        <v>16772.88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822.2*6*2.61</f>
        <v>12875.652000000002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31">
        <f>822.2*6*4.64</f>
        <v>22890.048000000003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822.2*6*0.1</f>
        <v>493.32000000000011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822.2*6*0.43</f>
        <v>2121.2760000000003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101969.24400000002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B23" s="12" t="s">
        <v>25</v>
      </c>
      <c r="C23" s="12" t="s">
        <v>19</v>
      </c>
      <c r="D23" s="12"/>
      <c r="E23" s="11">
        <v>0</v>
      </c>
    </row>
    <row r="24" spans="1:7">
      <c r="B24" s="5" t="s">
        <v>14</v>
      </c>
      <c r="C24" s="12" t="s">
        <v>19</v>
      </c>
      <c r="D24" s="12"/>
      <c r="E24" s="20">
        <f>E7-E23</f>
        <v>29993.856000000003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>
  <sheetPr>
    <tabColor theme="0"/>
  </sheetPr>
  <dimension ref="A1:G23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7.140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131963.10000000003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822.2*6*20.67</f>
        <v>101969.24400000002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822.2*6.08*6</f>
        <v>29993.856000000003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822.2*6*2.38</f>
        <v>11741.016000000001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822.2*6*4.82</f>
        <v>23778.024000000005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822.2*6*2.29</f>
        <v>11297.028000000002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822.2*6*3.4</f>
        <v>16772.88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822.2*6*2.61</f>
        <v>12875.652000000002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19">
        <f>822.2*6*4.64</f>
        <v>22890.048000000003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822.2*6*0.1</f>
        <v>493.32000000000011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822.2*6*0.43</f>
        <v>2121.2760000000003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101969.24400000002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>
        <v>0</v>
      </c>
    </row>
    <row r="23" spans="1:7">
      <c r="A23" s="4"/>
      <c r="B23" s="5" t="s">
        <v>14</v>
      </c>
      <c r="C23" s="12" t="s">
        <v>19</v>
      </c>
      <c r="D23" s="12"/>
      <c r="E23" s="10">
        <f>E7-E22</f>
        <v>29993.856000000003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270089.40000000002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841.4*12*20.67</f>
        <v>208700.856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841.4*6.08*12</f>
        <v>61388.543999999994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841.4*12*2.38</f>
        <v>24030.383999999998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841.4*12*4.82</f>
        <v>48666.576000000001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841.4*12*2.29</f>
        <v>23121.671999999999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841.4*12*3.4</f>
        <v>34329.119999999995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841.4*12*2.61</f>
        <v>26352.647999999997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19">
        <f>841.4*12*4.64</f>
        <v>46849.151999999995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841.4*12*0.1</f>
        <v>1009.68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841.4*12*0.43</f>
        <v>4341.6239999999998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208700.85599999997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A23" s="4"/>
      <c r="B23" s="6"/>
      <c r="C23" s="12" t="s">
        <v>19</v>
      </c>
      <c r="D23" s="12"/>
      <c r="E23" s="11">
        <v>0</v>
      </c>
    </row>
    <row r="24" spans="1:7">
      <c r="A24" s="4"/>
      <c r="B24" s="5" t="s">
        <v>14</v>
      </c>
      <c r="C24" s="12" t="s">
        <v>19</v>
      </c>
      <c r="D24" s="12"/>
      <c r="E24" s="10">
        <f>E7-E23</f>
        <v>61388.543999999994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E6" sqref="E6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5.710937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264504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824*12*20.67</f>
        <v>204384.96000000002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824*6.08*12</f>
        <v>60119.040000000001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824*12*2.38</f>
        <v>23533.439999999999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824*12*4.82</f>
        <v>47660.160000000003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824*12*2.29</f>
        <v>22643.52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824*12*3.4</f>
        <v>33619.199999999997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824*12*2.61</f>
        <v>25807.68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19">
        <f>824*12*4.64</f>
        <v>45880.32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824*12*0.1</f>
        <v>988.80000000000007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824*12*0.43</f>
        <v>4251.84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204384.96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A23" s="4"/>
      <c r="B23" s="6"/>
      <c r="C23" s="12" t="s">
        <v>19</v>
      </c>
      <c r="D23" s="12"/>
      <c r="E23" s="11">
        <v>0</v>
      </c>
    </row>
    <row r="24" spans="1:7">
      <c r="A24" s="4"/>
      <c r="B24" s="5" t="s">
        <v>14</v>
      </c>
      <c r="C24" s="12" t="s">
        <v>19</v>
      </c>
      <c r="D24" s="12"/>
      <c r="E24" s="10">
        <f>E7-E23</f>
        <v>60119.040000000001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>
  <sheetPr>
    <tabColor theme="0"/>
  </sheetPr>
  <dimension ref="A1:G24"/>
  <sheetViews>
    <sheetView workbookViewId="0">
      <selection activeCell="D6" sqref="D6:D7"/>
    </sheetView>
  </sheetViews>
  <sheetFormatPr defaultColWidth="8.85546875" defaultRowHeight="12"/>
  <cols>
    <col min="1" max="1" width="2.85546875" style="3" customWidth="1"/>
    <col min="2" max="2" width="39.7109375" style="3" customWidth="1"/>
    <col min="3" max="3" width="10" style="13" customWidth="1"/>
    <col min="4" max="4" width="14.140625" style="13" customWidth="1"/>
    <col min="5" max="5" width="14.5703125" style="13" customWidth="1"/>
    <col min="6" max="6" width="8.85546875" style="3"/>
    <col min="7" max="7" width="8.7109375" style="3" hidden="1" customWidth="1"/>
    <col min="8" max="16384" width="8.85546875" style="3"/>
  </cols>
  <sheetData>
    <row r="1" spans="1:7">
      <c r="A1" s="1"/>
      <c r="B1" s="1"/>
      <c r="C1" s="9"/>
      <c r="D1" s="9"/>
      <c r="E1" s="2"/>
    </row>
    <row r="2" spans="1:7" ht="30" customHeight="1">
      <c r="A2" s="90" t="s">
        <v>26</v>
      </c>
      <c r="B2" s="90"/>
      <c r="C2" s="90"/>
      <c r="D2" s="90"/>
      <c r="E2" s="90"/>
    </row>
    <row r="3" spans="1:7">
      <c r="A3" s="1"/>
      <c r="B3" s="1"/>
      <c r="C3" s="9"/>
      <c r="D3" s="9"/>
      <c r="E3" s="9"/>
    </row>
    <row r="4" spans="1:7" ht="36">
      <c r="A4" s="26" t="s">
        <v>0</v>
      </c>
      <c r="B4" s="26" t="s">
        <v>1</v>
      </c>
      <c r="C4" s="26" t="s">
        <v>2</v>
      </c>
      <c r="D4" s="25" t="s">
        <v>28</v>
      </c>
      <c r="E4" s="26" t="s">
        <v>3</v>
      </c>
    </row>
    <row r="5" spans="1:7">
      <c r="A5" s="4"/>
      <c r="B5" s="5" t="s">
        <v>27</v>
      </c>
      <c r="C5" s="12" t="s">
        <v>19</v>
      </c>
      <c r="D5" s="12"/>
      <c r="E5" s="10">
        <f>E6+E7</f>
        <v>296636.10000000003</v>
      </c>
    </row>
    <row r="6" spans="1:7">
      <c r="A6" s="4"/>
      <c r="B6" s="6" t="s">
        <v>4</v>
      </c>
      <c r="C6" s="12" t="s">
        <v>19</v>
      </c>
      <c r="D6" s="12" t="s">
        <v>78</v>
      </c>
      <c r="E6" s="11">
        <f>924.1*12*20.67</f>
        <v>229213.76400000002</v>
      </c>
      <c r="G6" s="17">
        <v>78.349999999999994</v>
      </c>
    </row>
    <row r="7" spans="1:7">
      <c r="A7" s="4"/>
      <c r="B7" s="6" t="s">
        <v>5</v>
      </c>
      <c r="C7" s="12" t="s">
        <v>19</v>
      </c>
      <c r="D7" s="12" t="s">
        <v>78</v>
      </c>
      <c r="E7" s="11">
        <f>924.1*6.08*12</f>
        <v>67422.33600000001</v>
      </c>
      <c r="G7" s="17">
        <v>21.65</v>
      </c>
    </row>
    <row r="8" spans="1:7">
      <c r="A8" s="4"/>
      <c r="B8" s="4"/>
      <c r="C8" s="12"/>
      <c r="D8" s="12"/>
      <c r="E8" s="12"/>
    </row>
    <row r="9" spans="1:7">
      <c r="A9" s="4"/>
      <c r="B9" s="91" t="s">
        <v>6</v>
      </c>
      <c r="C9" s="92"/>
      <c r="D9" s="92"/>
      <c r="E9" s="93"/>
    </row>
    <row r="10" spans="1:7">
      <c r="A10" s="4"/>
      <c r="B10" s="7" t="s">
        <v>8</v>
      </c>
      <c r="C10" s="12" t="s">
        <v>19</v>
      </c>
      <c r="D10" s="12" t="s">
        <v>30</v>
      </c>
      <c r="E10" s="19">
        <f>924.1*12*2.38</f>
        <v>26392.296000000002</v>
      </c>
      <c r="G10" s="17">
        <v>12.62</v>
      </c>
    </row>
    <row r="11" spans="1:7">
      <c r="A11" s="4"/>
      <c r="B11" s="7" t="s">
        <v>20</v>
      </c>
      <c r="C11" s="12" t="s">
        <v>19</v>
      </c>
      <c r="D11" s="28"/>
      <c r="E11" s="19"/>
      <c r="G11" s="17"/>
    </row>
    <row r="12" spans="1:7">
      <c r="A12" s="4"/>
      <c r="B12" s="7" t="s">
        <v>9</v>
      </c>
      <c r="C12" s="12" t="s">
        <v>19</v>
      </c>
      <c r="D12" s="12" t="s">
        <v>31</v>
      </c>
      <c r="E12" s="19">
        <f>924.1*12*4.82</f>
        <v>53449.944000000003</v>
      </c>
      <c r="G12" s="17">
        <v>15.55</v>
      </c>
    </row>
    <row r="13" spans="1:7">
      <c r="A13" s="4"/>
      <c r="B13" s="7" t="s">
        <v>10</v>
      </c>
      <c r="C13" s="12" t="s">
        <v>19</v>
      </c>
      <c r="D13" s="29" t="s">
        <v>32</v>
      </c>
      <c r="E13" s="19">
        <f>924.1*12*2.29</f>
        <v>25394.268000000004</v>
      </c>
      <c r="G13" s="17">
        <v>11.46</v>
      </c>
    </row>
    <row r="14" spans="1:7">
      <c r="A14" s="4"/>
      <c r="B14" s="7" t="s">
        <v>11</v>
      </c>
      <c r="C14" s="12" t="s">
        <v>19</v>
      </c>
      <c r="D14" s="28" t="s">
        <v>33</v>
      </c>
      <c r="E14" s="19">
        <f>924.1*12*3.4</f>
        <v>37703.279999999999</v>
      </c>
      <c r="G14" s="17">
        <v>13.98</v>
      </c>
    </row>
    <row r="15" spans="1:7">
      <c r="A15" s="4"/>
      <c r="B15" s="7" t="s">
        <v>12</v>
      </c>
      <c r="C15" s="12" t="s">
        <v>19</v>
      </c>
      <c r="D15" s="28" t="s">
        <v>33</v>
      </c>
      <c r="E15" s="19">
        <f>924.1*12*2.61</f>
        <v>28942.812000000002</v>
      </c>
      <c r="G15" s="17">
        <v>8.1199999999999992</v>
      </c>
    </row>
    <row r="16" spans="1:7" ht="48">
      <c r="A16" s="4"/>
      <c r="B16" s="30" t="s">
        <v>34</v>
      </c>
      <c r="C16" s="31" t="s">
        <v>19</v>
      </c>
      <c r="D16" s="31" t="s">
        <v>32</v>
      </c>
      <c r="E16" s="19">
        <f>924.1*12*4.64</f>
        <v>51453.887999999999</v>
      </c>
      <c r="G16" s="17">
        <v>18.14</v>
      </c>
    </row>
    <row r="17" spans="1:7">
      <c r="A17" s="4"/>
      <c r="B17" s="7" t="s">
        <v>17</v>
      </c>
      <c r="C17" s="12" t="s">
        <v>19</v>
      </c>
      <c r="D17" s="12" t="s">
        <v>33</v>
      </c>
      <c r="E17" s="19">
        <f>924.1*12*0.1</f>
        <v>1108.92</v>
      </c>
      <c r="F17" s="15"/>
      <c r="G17" s="17">
        <v>0.41</v>
      </c>
    </row>
    <row r="18" spans="1:7">
      <c r="A18" s="4"/>
      <c r="B18" s="7" t="s">
        <v>18</v>
      </c>
      <c r="C18" s="12" t="s">
        <v>19</v>
      </c>
      <c r="D18" s="12" t="s">
        <v>30</v>
      </c>
      <c r="E18" s="19">
        <f>924.1*12*0.43</f>
        <v>4768.3560000000007</v>
      </c>
      <c r="G18" s="17">
        <v>2.52</v>
      </c>
    </row>
    <row r="19" spans="1:7">
      <c r="A19" s="4"/>
      <c r="B19" s="8" t="s">
        <v>13</v>
      </c>
      <c r="C19" s="12" t="s">
        <v>19</v>
      </c>
      <c r="D19" s="12"/>
      <c r="E19" s="10">
        <f>E18+E17+E16+E15+E14+E13+E12+E11+E10</f>
        <v>229213.764</v>
      </c>
      <c r="F19" s="15"/>
      <c r="G19" s="17" t="e">
        <f>G18+G17+G16+G15+G14+G13+G12+G11+G10+#REF!+#REF!</f>
        <v>#REF!</v>
      </c>
    </row>
    <row r="20" spans="1:7">
      <c r="A20" s="4"/>
      <c r="B20" s="5" t="s">
        <v>14</v>
      </c>
      <c r="C20" s="12" t="s">
        <v>19</v>
      </c>
      <c r="D20" s="12"/>
      <c r="E20" s="10">
        <f>E6-E19</f>
        <v>0</v>
      </c>
    </row>
    <row r="21" spans="1:7">
      <c r="A21" s="4"/>
      <c r="B21" s="91" t="s">
        <v>15</v>
      </c>
      <c r="C21" s="92"/>
      <c r="D21" s="92"/>
      <c r="E21" s="93"/>
    </row>
    <row r="22" spans="1:7">
      <c r="A22" s="4"/>
      <c r="B22" s="5" t="s">
        <v>16</v>
      </c>
      <c r="C22" s="12" t="s">
        <v>19</v>
      </c>
      <c r="D22" s="12"/>
      <c r="E22" s="10"/>
    </row>
    <row r="23" spans="1:7">
      <c r="A23" s="4"/>
      <c r="B23" s="6"/>
      <c r="C23" s="12" t="s">
        <v>19</v>
      </c>
      <c r="D23" s="12"/>
      <c r="E23" s="11">
        <v>0</v>
      </c>
    </row>
    <row r="24" spans="1:7">
      <c r="A24" s="4"/>
      <c r="B24" s="5" t="s">
        <v>14</v>
      </c>
      <c r="C24" s="12" t="s">
        <v>19</v>
      </c>
      <c r="D24" s="12"/>
      <c r="E24" s="10">
        <f>E7-E23</f>
        <v>67422.33600000001</v>
      </c>
    </row>
  </sheetData>
  <mergeCells count="3">
    <mergeCell ref="A2:E2"/>
    <mergeCell ref="B9:E9"/>
    <mergeCell ref="B21:E2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158</vt:i4>
      </vt:variant>
    </vt:vector>
  </HeadingPairs>
  <TitlesOfParts>
    <vt:vector size="158" baseType="lpstr">
      <vt:lpstr>1</vt:lpstr>
      <vt:lpstr>2</vt:lpstr>
      <vt:lpstr>3</vt:lpstr>
      <vt:lpstr>4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113а</vt:lpstr>
      <vt:lpstr>113б</vt:lpstr>
      <vt:lpstr>114</vt:lpstr>
      <vt:lpstr>114а</vt:lpstr>
      <vt:lpstr>114б</vt:lpstr>
      <vt:lpstr>115</vt:lpstr>
      <vt:lpstr>115а</vt:lpstr>
      <vt:lpstr>116</vt:lpstr>
      <vt:lpstr>115б</vt:lpstr>
      <vt:lpstr>116а</vt:lpstr>
      <vt:lpstr>116б</vt:lpstr>
      <vt:lpstr>117</vt:lpstr>
      <vt:lpstr>117а</vt:lpstr>
      <vt:lpstr>118</vt:lpstr>
      <vt:lpstr>119</vt:lpstr>
      <vt:lpstr>120</vt:lpstr>
      <vt:lpstr>121</vt:lpstr>
      <vt:lpstr>122</vt:lpstr>
      <vt:lpstr>123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  <vt:lpstr>133</vt:lpstr>
      <vt:lpstr>134</vt:lpstr>
      <vt:lpstr>135</vt:lpstr>
      <vt:lpstr>136</vt:lpstr>
      <vt:lpstr>137</vt:lpstr>
      <vt:lpstr>138</vt:lpstr>
      <vt:lpstr>139</vt:lpstr>
      <vt:lpstr>140</vt:lpstr>
      <vt:lpstr>141</vt:lpstr>
      <vt:lpstr>142</vt:lpstr>
      <vt:lpstr>143</vt:lpstr>
      <vt:lpstr>144</vt:lpstr>
      <vt:lpstr>145</vt:lpstr>
      <vt:lpstr>146</vt:lpstr>
      <vt:lpstr>147</vt:lpstr>
      <vt:lpstr>148</vt:lpstr>
      <vt:lpstr>150</vt:lpstr>
      <vt:lpstr>151</vt:lpstr>
      <vt:lpstr>152</vt:lpstr>
      <vt:lpstr>153</vt:lpstr>
      <vt:lpstr>154</vt:lpstr>
      <vt:lpstr>167</vt:lpstr>
      <vt:lpstr>168</vt:lpstr>
      <vt:lpstr>169</vt:lpstr>
      <vt:lpstr>170</vt:lpstr>
      <vt:lpstr>171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2013-05-08T03:01:55Z</cp:lastPrinted>
  <dcterms:created xsi:type="dcterms:W3CDTF">2013-04-23T07:29:32Z</dcterms:created>
  <dcterms:modified xsi:type="dcterms:W3CDTF">2015-10-26T06:13:01Z</dcterms:modified>
</cp:coreProperties>
</file>