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24" windowWidth="15132" windowHeight="8892" tabRatio="927" firstSheet="14" activeTab="15"/>
  </bookViews>
  <sheets>
    <sheet name="1" sheetId="1" r:id="rId1"/>
    <sheet name="2" sheetId="9" r:id="rId2"/>
    <sheet name="3" sheetId="8" r:id="rId3"/>
    <sheet name="4" sheetId="7" r:id="rId4"/>
    <sheet name="7" sheetId="6" r:id="rId5"/>
    <sheet name="8" sheetId="5" r:id="rId6"/>
    <sheet name="9" sheetId="4" r:id="rId7"/>
    <sheet name="10" sheetId="10" r:id="rId8"/>
    <sheet name="11" sheetId="15" r:id="rId9"/>
    <sheet name="12" sheetId="14" r:id="rId10"/>
    <sheet name="13" sheetId="13" r:id="rId11"/>
    <sheet name="14" sheetId="12" r:id="rId12"/>
    <sheet name="15" sheetId="11" r:id="rId13"/>
    <sheet name="16" sheetId="31" r:id="rId14"/>
    <sheet name="17" sheetId="30" r:id="rId15"/>
    <sheet name="18" sheetId="29" r:id="rId16"/>
    <sheet name="19" sheetId="28" r:id="rId17"/>
    <sheet name="20" sheetId="27" r:id="rId18"/>
    <sheet name="21" sheetId="65" r:id="rId19"/>
    <sheet name="22" sheetId="26" r:id="rId20"/>
    <sheet name="23" sheetId="25" r:id="rId21"/>
    <sheet name="24" sheetId="24" r:id="rId22"/>
    <sheet name="25" sheetId="23" r:id="rId23"/>
    <sheet name="26" sheetId="22" r:id="rId24"/>
    <sheet name="27" sheetId="21" r:id="rId25"/>
    <sheet name="28" sheetId="20" r:id="rId26"/>
    <sheet name="29" sheetId="109" r:id="rId27"/>
    <sheet name="30" sheetId="19" r:id="rId28"/>
    <sheet name="31" sheetId="66" r:id="rId29"/>
    <sheet name="32" sheetId="18" r:id="rId30"/>
    <sheet name="33" sheetId="17" r:id="rId31"/>
    <sheet name="34" sheetId="126" r:id="rId32"/>
    <sheet name="35" sheetId="125" r:id="rId33"/>
    <sheet name="36" sheetId="124" r:id="rId34"/>
    <sheet name="37" sheetId="123" r:id="rId35"/>
    <sheet name="38" sheetId="122" r:id="rId36"/>
    <sheet name="39" sheetId="121" r:id="rId37"/>
    <sheet name="40" sheetId="120" r:id="rId38"/>
    <sheet name="41" sheetId="119" r:id="rId39"/>
    <sheet name="49" sheetId="35" r:id="rId40"/>
    <sheet name="50" sheetId="34" r:id="rId41"/>
    <sheet name="51" sheetId="33" r:id="rId42"/>
    <sheet name="52" sheetId="32" r:id="rId43"/>
    <sheet name="53" sheetId="16" r:id="rId44"/>
    <sheet name="54" sheetId="50" r:id="rId45"/>
    <sheet name="55" sheetId="49" r:id="rId46"/>
    <sheet name="56" sheetId="48" r:id="rId47"/>
    <sheet name="57" sheetId="47" r:id="rId48"/>
    <sheet name="58" sheetId="46" r:id="rId49"/>
    <sheet name="59" sheetId="45" r:id="rId50"/>
    <sheet name="60" sheetId="44" r:id="rId51"/>
    <sheet name="61" sheetId="43" r:id="rId52"/>
    <sheet name="62" sheetId="127" r:id="rId53"/>
    <sheet name="63" sheetId="41" r:id="rId54"/>
    <sheet name="64" sheetId="40" r:id="rId55"/>
    <sheet name="65" sheetId="39" r:id="rId56"/>
    <sheet name="66" sheetId="38" r:id="rId57"/>
    <sheet name="67" sheetId="37" r:id="rId58"/>
    <sheet name="68" sheetId="36" r:id="rId59"/>
    <sheet name="69" sheetId="57" r:id="rId60"/>
    <sheet name="70" sheetId="56" r:id="rId61"/>
    <sheet name="71" sheetId="55" r:id="rId62"/>
    <sheet name="72" sheetId="54" r:id="rId63"/>
    <sheet name="73" sheetId="53" r:id="rId64"/>
    <sheet name="74" sheetId="135" r:id="rId65"/>
    <sheet name="75" sheetId="134" r:id="rId66"/>
    <sheet name="76" sheetId="133" r:id="rId67"/>
    <sheet name="77" sheetId="131" r:id="rId68"/>
    <sheet name="78" sheetId="130" r:id="rId69"/>
    <sheet name="79" sheetId="129" r:id="rId70"/>
    <sheet name="80" sheetId="128" r:id="rId71"/>
    <sheet name="81" sheetId="142" r:id="rId72"/>
    <sheet name="82" sheetId="141" r:id="rId73"/>
    <sheet name="83" sheetId="140" r:id="rId74"/>
    <sheet name="84" sheetId="139" r:id="rId75"/>
    <sheet name="85" sheetId="138" r:id="rId76"/>
    <sheet name="86" sheetId="137" r:id="rId77"/>
    <sheet name="87" sheetId="136" r:id="rId78"/>
    <sheet name="88" sheetId="153" r:id="rId79"/>
    <sheet name="89" sheetId="152" r:id="rId80"/>
    <sheet name="90" sheetId="151" r:id="rId81"/>
    <sheet name="91" sheetId="150" r:id="rId82"/>
    <sheet name="92" sheetId="149" r:id="rId83"/>
    <sheet name="93" sheetId="148" r:id="rId84"/>
    <sheet name="94" sheetId="163" r:id="rId85"/>
    <sheet name="95" sheetId="162" r:id="rId86"/>
    <sheet name="96" sheetId="161" r:id="rId87"/>
    <sheet name="97" sheetId="169" r:id="rId88"/>
    <sheet name="98" sheetId="168" r:id="rId89"/>
    <sheet name="99" sheetId="167" r:id="rId90"/>
    <sheet name="100" sheetId="166" r:id="rId91"/>
    <sheet name="101" sheetId="165" r:id="rId92"/>
    <sheet name="102" sheetId="164" r:id="rId93"/>
    <sheet name="103" sheetId="160" r:id="rId94"/>
    <sheet name="104" sheetId="147" r:id="rId95"/>
    <sheet name="105" sheetId="146" r:id="rId96"/>
    <sheet name="106" sheetId="145" r:id="rId97"/>
    <sheet name="107" sheetId="144" r:id="rId98"/>
    <sheet name="108" sheetId="143" r:id="rId99"/>
    <sheet name="109" sheetId="155" r:id="rId100"/>
    <sheet name="110" sheetId="154" r:id="rId101"/>
    <sheet name="111" sheetId="156" r:id="rId102"/>
    <sheet name="112" sheetId="159" r:id="rId103"/>
    <sheet name="113" sheetId="158" r:id="rId104"/>
  </sheets>
  <calcPr calcId="125725"/>
</workbook>
</file>

<file path=xl/calcChain.xml><?xml version="1.0" encoding="utf-8"?>
<calcChain xmlns="http://schemas.openxmlformats.org/spreadsheetml/2006/main">
  <c r="D26" i="148"/>
  <c r="D26" i="149"/>
  <c r="D26" i="150"/>
  <c r="D26" i="151"/>
  <c r="D26" i="152"/>
  <c r="D26" i="153"/>
  <c r="D26" i="136"/>
  <c r="D26" i="137"/>
  <c r="D26" i="138"/>
  <c r="D26" i="139"/>
  <c r="D26" i="140"/>
  <c r="D26" i="141"/>
  <c r="D26" i="142"/>
  <c r="D26" i="128"/>
  <c r="D26" i="129"/>
  <c r="D26" i="130"/>
  <c r="D25" i="151"/>
  <c r="D26" i="131"/>
  <c r="D26" i="133"/>
  <c r="D26" i="134"/>
  <c r="D25" i="135"/>
  <c r="D25" i="148"/>
  <c r="D25" i="149"/>
  <c r="D25" i="150"/>
  <c r="D25" i="152"/>
  <c r="D25" i="153"/>
  <c r="D25" i="136"/>
  <c r="D25" i="137"/>
  <c r="D25" i="138"/>
  <c r="D25" i="139"/>
  <c r="D25" i="140"/>
  <c r="D25" i="141"/>
  <c r="D25" i="142"/>
  <c r="D25" i="128"/>
  <c r="D25" i="129"/>
  <c r="D25" i="130"/>
  <c r="D25" i="131"/>
  <c r="D25" i="133"/>
  <c r="D25" i="134"/>
  <c r="D27" i="53"/>
  <c r="D28" s="1"/>
  <c r="D27" i="54"/>
  <c r="D28" s="1"/>
  <c r="D28" i="55"/>
  <c r="D27"/>
  <c r="D28" i="57"/>
  <c r="D28" i="37"/>
  <c r="D27" i="127"/>
  <c r="D26"/>
  <c r="D27" i="56"/>
  <c r="D28" s="1"/>
  <c r="D29" i="57"/>
  <c r="D28" i="36"/>
  <c r="D27"/>
  <c r="D27" i="37"/>
  <c r="D27" i="38"/>
  <c r="D28" s="1"/>
  <c r="D28" i="39"/>
  <c r="D27"/>
  <c r="D27" i="40"/>
  <c r="D28" s="1"/>
  <c r="D27" i="41"/>
  <c r="D28" s="1"/>
  <c r="D28" i="43"/>
  <c r="D27"/>
  <c r="D27" i="44"/>
  <c r="D27" i="45"/>
  <c r="D27" i="46"/>
  <c r="D27" i="47"/>
  <c r="D27" i="48"/>
  <c r="D27" i="49"/>
  <c r="D28" i="50"/>
  <c r="D27" i="16"/>
  <c r="D28" i="32"/>
  <c r="D28" i="33"/>
  <c r="D28" i="34"/>
  <c r="D28" i="35"/>
  <c r="D27"/>
  <c r="D25" i="121"/>
  <c r="D25" i="124"/>
  <c r="D26" i="119"/>
  <c r="D27" s="1"/>
  <c r="D26" i="120"/>
  <c r="D27" s="1"/>
  <c r="D26" i="122"/>
  <c r="D27" s="1"/>
  <c r="D26" i="123"/>
  <c r="D27" s="1"/>
  <c r="D27" i="126"/>
  <c r="D27" i="125"/>
  <c r="D26"/>
  <c r="D26" i="126"/>
  <c r="D28" i="17"/>
  <c r="D28" i="18"/>
  <c r="D28" i="66"/>
  <c r="D28" i="19"/>
  <c r="D28" i="109"/>
  <c r="D28" i="20"/>
  <c r="D28" i="21"/>
  <c r="D28" i="22"/>
  <c r="D28" i="23"/>
  <c r="D27" i="24"/>
  <c r="D28" i="25"/>
  <c r="D27" i="26"/>
  <c r="D29" i="65"/>
  <c r="D30" s="1"/>
  <c r="D27" i="29"/>
  <c r="D27" i="30"/>
  <c r="D28" i="27"/>
  <c r="D28" i="28"/>
  <c r="D29" s="1"/>
  <c r="D28" i="11"/>
  <c r="D28" i="12"/>
  <c r="D29" i="13"/>
  <c r="D27" i="14"/>
  <c r="D28" i="15"/>
  <c r="D28" i="10"/>
  <c r="D28" i="4"/>
  <c r="D27" i="5"/>
  <c r="D28" i="6"/>
  <c r="D26" i="7"/>
  <c r="D27" i="8"/>
  <c r="D28" i="9"/>
  <c r="D29" i="1"/>
  <c r="D28" i="31"/>
  <c r="D11" i="160" l="1"/>
  <c r="D10"/>
  <c r="D9"/>
  <c r="D6"/>
  <c r="F12" i="164"/>
  <c r="D11"/>
  <c r="D10"/>
  <c r="D12" s="1"/>
  <c r="D9"/>
  <c r="D6"/>
  <c r="D5" s="1"/>
  <c r="D11" i="165"/>
  <c r="D10"/>
  <c r="D9"/>
  <c r="D6"/>
  <c r="D11" i="166"/>
  <c r="D10"/>
  <c r="D9"/>
  <c r="D6"/>
  <c r="D11" i="167"/>
  <c r="D10"/>
  <c r="D9"/>
  <c r="D6"/>
  <c r="D9" i="168"/>
  <c r="D11"/>
  <c r="D10"/>
  <c r="D6"/>
  <c r="D11" i="169"/>
  <c r="D10"/>
  <c r="D9"/>
  <c r="D6"/>
  <c r="D11" i="161"/>
  <c r="D10"/>
  <c r="D9"/>
  <c r="D6"/>
  <c r="D11" i="162"/>
  <c r="D10"/>
  <c r="D9"/>
  <c r="D6"/>
  <c r="F12" i="160"/>
  <c r="D12"/>
  <c r="D5"/>
  <c r="F12" i="165"/>
  <c r="D12"/>
  <c r="D5"/>
  <c r="F12" i="166"/>
  <c r="D12"/>
  <c r="D13" s="1"/>
  <c r="D5"/>
  <c r="F12" i="167"/>
  <c r="D12"/>
  <c r="D5"/>
  <c r="F12" i="168"/>
  <c r="D12"/>
  <c r="D13" s="1"/>
  <c r="D5"/>
  <c r="F12" i="169"/>
  <c r="D12"/>
  <c r="D13" s="1"/>
  <c r="D5"/>
  <c r="F12" i="161"/>
  <c r="D12"/>
  <c r="D5"/>
  <c r="F12" i="162"/>
  <c r="D12"/>
  <c r="D13" s="1"/>
  <c r="D5"/>
  <c r="D11" i="163"/>
  <c r="D10"/>
  <c r="D9"/>
  <c r="D6"/>
  <c r="D5" s="1"/>
  <c r="F12"/>
  <c r="D11" i="158"/>
  <c r="D12" s="1"/>
  <c r="D10"/>
  <c r="D9"/>
  <c r="D6"/>
  <c r="F12"/>
  <c r="D5"/>
  <c r="D12" i="159"/>
  <c r="D11"/>
  <c r="D10"/>
  <c r="D6"/>
  <c r="D5" s="1"/>
  <c r="D9"/>
  <c r="F12"/>
  <c r="F19" i="156"/>
  <c r="D18"/>
  <c r="D19" s="1"/>
  <c r="D17"/>
  <c r="D16"/>
  <c r="D15"/>
  <c r="D14"/>
  <c r="D13"/>
  <c r="D12"/>
  <c r="D10"/>
  <c r="D7"/>
  <c r="D24" s="1"/>
  <c r="D6"/>
  <c r="D5"/>
  <c r="D20" i="53"/>
  <c r="D19"/>
  <c r="D18"/>
  <c r="D17"/>
  <c r="D16"/>
  <c r="D15"/>
  <c r="D14"/>
  <c r="D12"/>
  <c r="D11"/>
  <c r="D10"/>
  <c r="D7"/>
  <c r="D6"/>
  <c r="D20" i="54"/>
  <c r="D19"/>
  <c r="D18"/>
  <c r="D17"/>
  <c r="D16"/>
  <c r="D15"/>
  <c r="D14"/>
  <c r="D12"/>
  <c r="D11"/>
  <c r="D10"/>
  <c r="D7"/>
  <c r="D6"/>
  <c r="D20" i="55"/>
  <c r="D19"/>
  <c r="D18"/>
  <c r="D17"/>
  <c r="D16"/>
  <c r="D15"/>
  <c r="D14"/>
  <c r="D12"/>
  <c r="D11"/>
  <c r="D10"/>
  <c r="D7"/>
  <c r="D6"/>
  <c r="D20" i="56"/>
  <c r="D19"/>
  <c r="D18"/>
  <c r="D17"/>
  <c r="D16"/>
  <c r="D15"/>
  <c r="D14"/>
  <c r="D12"/>
  <c r="D11"/>
  <c r="D10"/>
  <c r="D7"/>
  <c r="D6"/>
  <c r="D20" i="57"/>
  <c r="D19"/>
  <c r="D18"/>
  <c r="D17"/>
  <c r="D16"/>
  <c r="D15"/>
  <c r="D14"/>
  <c r="D12"/>
  <c r="D11"/>
  <c r="D10"/>
  <c r="D7"/>
  <c r="D6"/>
  <c r="D20" i="36"/>
  <c r="D19"/>
  <c r="D18"/>
  <c r="D17"/>
  <c r="D16"/>
  <c r="D15"/>
  <c r="D14"/>
  <c r="D12"/>
  <c r="D11"/>
  <c r="D10"/>
  <c r="D7"/>
  <c r="D6"/>
  <c r="D20" i="37"/>
  <c r="D19"/>
  <c r="D18"/>
  <c r="D17"/>
  <c r="D16"/>
  <c r="D15"/>
  <c r="D14"/>
  <c r="D12"/>
  <c r="D11"/>
  <c r="D10"/>
  <c r="D7"/>
  <c r="D6"/>
  <c r="D20" i="38"/>
  <c r="D19"/>
  <c r="D18"/>
  <c r="D17"/>
  <c r="D16"/>
  <c r="D15"/>
  <c r="D14"/>
  <c r="D12"/>
  <c r="D11"/>
  <c r="D10"/>
  <c r="D7"/>
  <c r="D6"/>
  <c r="D20" i="39"/>
  <c r="D19"/>
  <c r="D18"/>
  <c r="D17"/>
  <c r="D16"/>
  <c r="D15"/>
  <c r="D14"/>
  <c r="D12"/>
  <c r="D11"/>
  <c r="D10"/>
  <c r="D7"/>
  <c r="D6"/>
  <c r="D20" i="40"/>
  <c r="D19"/>
  <c r="D18"/>
  <c r="D17"/>
  <c r="D16"/>
  <c r="D15"/>
  <c r="D14"/>
  <c r="D12"/>
  <c r="D11"/>
  <c r="D10"/>
  <c r="D7"/>
  <c r="D6"/>
  <c r="D20" i="41"/>
  <c r="D19"/>
  <c r="D18"/>
  <c r="D17"/>
  <c r="D16"/>
  <c r="D15"/>
  <c r="D14"/>
  <c r="D12"/>
  <c r="D11"/>
  <c r="D10"/>
  <c r="D7"/>
  <c r="D6"/>
  <c r="D20" i="43"/>
  <c r="D19"/>
  <c r="D18"/>
  <c r="D17"/>
  <c r="D16"/>
  <c r="D15"/>
  <c r="D14"/>
  <c r="D12"/>
  <c r="D11"/>
  <c r="D10"/>
  <c r="D7"/>
  <c r="D6"/>
  <c r="D20" i="44"/>
  <c r="D19"/>
  <c r="D18"/>
  <c r="D17"/>
  <c r="D16"/>
  <c r="D15"/>
  <c r="D14"/>
  <c r="D12"/>
  <c r="D11"/>
  <c r="D10"/>
  <c r="D7"/>
  <c r="D28" s="1"/>
  <c r="D6"/>
  <c r="D20" i="45"/>
  <c r="D19"/>
  <c r="D18"/>
  <c r="D17"/>
  <c r="D16"/>
  <c r="D15"/>
  <c r="D14"/>
  <c r="D12"/>
  <c r="D11"/>
  <c r="D10"/>
  <c r="D7"/>
  <c r="D28" s="1"/>
  <c r="D6"/>
  <c r="D20" i="46"/>
  <c r="D19"/>
  <c r="D18"/>
  <c r="D17"/>
  <c r="D16"/>
  <c r="D15"/>
  <c r="D14"/>
  <c r="D12"/>
  <c r="D11"/>
  <c r="D10"/>
  <c r="D7"/>
  <c r="D28" s="1"/>
  <c r="D6"/>
  <c r="D19" i="47"/>
  <c r="D20"/>
  <c r="D18"/>
  <c r="D17"/>
  <c r="D16"/>
  <c r="D15"/>
  <c r="D14"/>
  <c r="D12"/>
  <c r="D11"/>
  <c r="D10"/>
  <c r="D7"/>
  <c r="D28" s="1"/>
  <c r="D6"/>
  <c r="D20" i="48"/>
  <c r="D19"/>
  <c r="D18"/>
  <c r="D17"/>
  <c r="D16"/>
  <c r="D15"/>
  <c r="D14"/>
  <c r="D12"/>
  <c r="D11"/>
  <c r="D10"/>
  <c r="D7"/>
  <c r="D28" s="1"/>
  <c r="D6"/>
  <c r="D13" i="164" l="1"/>
  <c r="D13" i="160"/>
  <c r="D13" i="165"/>
  <c r="D13" i="167"/>
  <c r="D13" i="161"/>
  <c r="D12" i="163"/>
  <c r="D13" s="1"/>
  <c r="D13" i="158"/>
  <c r="D13" i="159"/>
  <c r="D20" i="156"/>
  <c r="D20" i="49" l="1"/>
  <c r="D19"/>
  <c r="D18"/>
  <c r="D17"/>
  <c r="D16"/>
  <c r="D15"/>
  <c r="D14"/>
  <c r="D12"/>
  <c r="D11"/>
  <c r="D10"/>
  <c r="D7"/>
  <c r="D28" s="1"/>
  <c r="D6"/>
  <c r="D20" i="50"/>
  <c r="D19"/>
  <c r="D18"/>
  <c r="D17"/>
  <c r="D16"/>
  <c r="D15"/>
  <c r="D14"/>
  <c r="D12"/>
  <c r="D11"/>
  <c r="D10"/>
  <c r="D7"/>
  <c r="D29" s="1"/>
  <c r="D6"/>
  <c r="D18" i="16"/>
  <c r="D20"/>
  <c r="D19"/>
  <c r="D17"/>
  <c r="D16"/>
  <c r="D15"/>
  <c r="D14"/>
  <c r="D12"/>
  <c r="D11"/>
  <c r="D10"/>
  <c r="D7"/>
  <c r="D28" s="1"/>
  <c r="D6"/>
  <c r="D20" i="32"/>
  <c r="D19"/>
  <c r="D18"/>
  <c r="D17"/>
  <c r="D16"/>
  <c r="D15"/>
  <c r="D14"/>
  <c r="D12"/>
  <c r="D11"/>
  <c r="D10"/>
  <c r="D7"/>
  <c r="D29" s="1"/>
  <c r="D6"/>
  <c r="D16" i="33"/>
  <c r="D18"/>
  <c r="D20"/>
  <c r="D19"/>
  <c r="D17"/>
  <c r="D15"/>
  <c r="D14"/>
  <c r="D12"/>
  <c r="D11"/>
  <c r="D10"/>
  <c r="D7"/>
  <c r="D29" s="1"/>
  <c r="D6"/>
  <c r="D20" i="34"/>
  <c r="D19"/>
  <c r="D18"/>
  <c r="D17"/>
  <c r="D16"/>
  <c r="D15"/>
  <c r="D14"/>
  <c r="D12"/>
  <c r="D11"/>
  <c r="D10"/>
  <c r="D7"/>
  <c r="D29" s="1"/>
  <c r="D6"/>
  <c r="D20" i="35"/>
  <c r="D19"/>
  <c r="D18"/>
  <c r="D17"/>
  <c r="D16"/>
  <c r="D15"/>
  <c r="D14"/>
  <c r="D12"/>
  <c r="D11"/>
  <c r="D10"/>
  <c r="D7"/>
  <c r="D6"/>
  <c r="D20" i="17"/>
  <c r="D19"/>
  <c r="D18"/>
  <c r="D17"/>
  <c r="D16"/>
  <c r="D15"/>
  <c r="D14"/>
  <c r="D12"/>
  <c r="D11"/>
  <c r="D10"/>
  <c r="D7"/>
  <c r="D29" s="1"/>
  <c r="D6"/>
  <c r="D14" i="18"/>
  <c r="D20"/>
  <c r="D19"/>
  <c r="D18"/>
  <c r="D17"/>
  <c r="D16"/>
  <c r="D15"/>
  <c r="D12"/>
  <c r="D11"/>
  <c r="D10"/>
  <c r="D7"/>
  <c r="D29" s="1"/>
  <c r="D6"/>
  <c r="D20" i="66"/>
  <c r="D19"/>
  <c r="D18"/>
  <c r="D17"/>
  <c r="D16"/>
  <c r="D15"/>
  <c r="D14"/>
  <c r="D12"/>
  <c r="D11"/>
  <c r="D10"/>
  <c r="D7"/>
  <c r="D29" s="1"/>
  <c r="D6"/>
  <c r="D20" i="19"/>
  <c r="D19"/>
  <c r="D18"/>
  <c r="D17"/>
  <c r="D16"/>
  <c r="D15"/>
  <c r="D14"/>
  <c r="D12"/>
  <c r="D11"/>
  <c r="D10"/>
  <c r="D7"/>
  <c r="D29" s="1"/>
  <c r="D6"/>
  <c r="D20" i="109"/>
  <c r="D19"/>
  <c r="D18"/>
  <c r="D17"/>
  <c r="D16"/>
  <c r="D15"/>
  <c r="D14"/>
  <c r="D12"/>
  <c r="D11"/>
  <c r="D10"/>
  <c r="D7"/>
  <c r="D29" s="1"/>
  <c r="D6"/>
  <c r="D20" i="20"/>
  <c r="D19"/>
  <c r="D18"/>
  <c r="D17"/>
  <c r="D16"/>
  <c r="D15"/>
  <c r="D14"/>
  <c r="D12"/>
  <c r="D11"/>
  <c r="D10"/>
  <c r="D7"/>
  <c r="D29" s="1"/>
  <c r="D6"/>
  <c r="D20" i="21"/>
  <c r="D19"/>
  <c r="D18"/>
  <c r="D17"/>
  <c r="D16"/>
  <c r="D15"/>
  <c r="D14"/>
  <c r="D12"/>
  <c r="D11"/>
  <c r="D10"/>
  <c r="D7"/>
  <c r="D29" s="1"/>
  <c r="D6"/>
  <c r="D20" i="22"/>
  <c r="D19"/>
  <c r="D18"/>
  <c r="D17"/>
  <c r="D16"/>
  <c r="D15"/>
  <c r="D14"/>
  <c r="D12"/>
  <c r="D11"/>
  <c r="D10"/>
  <c r="D7"/>
  <c r="D29" s="1"/>
  <c r="D6"/>
  <c r="D20" i="23"/>
  <c r="D19"/>
  <c r="D18"/>
  <c r="D17"/>
  <c r="D16"/>
  <c r="D15"/>
  <c r="D14"/>
  <c r="D12"/>
  <c r="D11"/>
  <c r="D10"/>
  <c r="D7"/>
  <c r="D29" s="1"/>
  <c r="D6"/>
  <c r="D20" i="24"/>
  <c r="D19"/>
  <c r="D18"/>
  <c r="D17"/>
  <c r="D16"/>
  <c r="D15"/>
  <c r="D14"/>
  <c r="D12"/>
  <c r="D11"/>
  <c r="D10"/>
  <c r="D7"/>
  <c r="D28" s="1"/>
  <c r="D6"/>
  <c r="D20" i="25"/>
  <c r="D19"/>
  <c r="D18"/>
  <c r="D17"/>
  <c r="D16"/>
  <c r="D15"/>
  <c r="D14"/>
  <c r="D12"/>
  <c r="D11"/>
  <c r="D10"/>
  <c r="D7"/>
  <c r="D29" s="1"/>
  <c r="D6"/>
  <c r="D20" i="26"/>
  <c r="D19"/>
  <c r="D18"/>
  <c r="D17"/>
  <c r="D16"/>
  <c r="D15"/>
  <c r="D14"/>
  <c r="D12"/>
  <c r="D11"/>
  <c r="D10"/>
  <c r="D7"/>
  <c r="D28" s="1"/>
  <c r="D6"/>
  <c r="D20" i="65"/>
  <c r="D19"/>
  <c r="D18"/>
  <c r="D17"/>
  <c r="D16"/>
  <c r="D15"/>
  <c r="D14"/>
  <c r="D12"/>
  <c r="D11"/>
  <c r="D10"/>
  <c r="D7"/>
  <c r="D6"/>
  <c r="D20" i="27"/>
  <c r="D19"/>
  <c r="D18"/>
  <c r="D17"/>
  <c r="D16"/>
  <c r="D15"/>
  <c r="D14"/>
  <c r="D12"/>
  <c r="D11"/>
  <c r="D10"/>
  <c r="D7"/>
  <c r="D29" s="1"/>
  <c r="D6"/>
  <c r="D20" i="28"/>
  <c r="D19"/>
  <c r="D18"/>
  <c r="D17"/>
  <c r="D16"/>
  <c r="D15"/>
  <c r="D14"/>
  <c r="D12"/>
  <c r="D11"/>
  <c r="D10"/>
  <c r="D7"/>
  <c r="D6"/>
  <c r="D20" i="29"/>
  <c r="D19"/>
  <c r="D18"/>
  <c r="D17"/>
  <c r="D16"/>
  <c r="D15"/>
  <c r="D14"/>
  <c r="D12"/>
  <c r="D11"/>
  <c r="D10"/>
  <c r="D20" i="30"/>
  <c r="D19"/>
  <c r="D18"/>
  <c r="D17"/>
  <c r="D16"/>
  <c r="D15"/>
  <c r="D14"/>
  <c r="D12"/>
  <c r="D11"/>
  <c r="D10"/>
  <c r="D7"/>
  <c r="D28" s="1"/>
  <c r="D6"/>
  <c r="D20" i="31"/>
  <c r="D19"/>
  <c r="D18"/>
  <c r="D17"/>
  <c r="D16"/>
  <c r="D15"/>
  <c r="D14"/>
  <c r="D12"/>
  <c r="D11"/>
  <c r="D10"/>
  <c r="D7"/>
  <c r="D29" s="1"/>
  <c r="D6"/>
  <c r="D20" i="12"/>
  <c r="D19"/>
  <c r="D18"/>
  <c r="D17"/>
  <c r="D16"/>
  <c r="D15"/>
  <c r="D14"/>
  <c r="D12"/>
  <c r="D11"/>
  <c r="D10"/>
  <c r="D7"/>
  <c r="D29" s="1"/>
  <c r="D6"/>
  <c r="D20" i="13"/>
  <c r="D19"/>
  <c r="D18"/>
  <c r="D17"/>
  <c r="D16"/>
  <c r="D15"/>
  <c r="D14"/>
  <c r="D12"/>
  <c r="D11"/>
  <c r="D10"/>
  <c r="D7"/>
  <c r="D30" s="1"/>
  <c r="D6"/>
  <c r="D20" i="14"/>
  <c r="D19"/>
  <c r="D18"/>
  <c r="D17"/>
  <c r="D16"/>
  <c r="D15"/>
  <c r="D14"/>
  <c r="D12"/>
  <c r="D11"/>
  <c r="D10"/>
  <c r="D7"/>
  <c r="D28" s="1"/>
  <c r="D6"/>
  <c r="D20" i="15"/>
  <c r="D19"/>
  <c r="D18"/>
  <c r="D17"/>
  <c r="D16"/>
  <c r="D15"/>
  <c r="D14"/>
  <c r="D12"/>
  <c r="D11"/>
  <c r="D10"/>
  <c r="D7"/>
  <c r="D29" s="1"/>
  <c r="D6"/>
  <c r="D20" i="10"/>
  <c r="D19"/>
  <c r="D18"/>
  <c r="D17"/>
  <c r="D16"/>
  <c r="D15"/>
  <c r="D14"/>
  <c r="D12"/>
  <c r="D11"/>
  <c r="D10"/>
  <c r="D7"/>
  <c r="D29" s="1"/>
  <c r="D6"/>
  <c r="D20" i="4"/>
  <c r="D19"/>
  <c r="D18"/>
  <c r="D17"/>
  <c r="D16"/>
  <c r="D15"/>
  <c r="D14"/>
  <c r="D12"/>
  <c r="D11"/>
  <c r="D10"/>
  <c r="D7"/>
  <c r="D29" s="1"/>
  <c r="D6"/>
  <c r="D20" i="5"/>
  <c r="D19"/>
  <c r="D18"/>
  <c r="D17"/>
  <c r="D16"/>
  <c r="D15"/>
  <c r="D14"/>
  <c r="D12"/>
  <c r="D11"/>
  <c r="D10"/>
  <c r="D7"/>
  <c r="D28" s="1"/>
  <c r="D6"/>
  <c r="D20" i="6"/>
  <c r="D19"/>
  <c r="D18"/>
  <c r="D17"/>
  <c r="D16"/>
  <c r="D15"/>
  <c r="D14"/>
  <c r="D12"/>
  <c r="D11"/>
  <c r="D10"/>
  <c r="D7"/>
  <c r="D29" s="1"/>
  <c r="D6"/>
  <c r="D20" i="7"/>
  <c r="D19"/>
  <c r="D18"/>
  <c r="D17"/>
  <c r="D16"/>
  <c r="D15"/>
  <c r="D14"/>
  <c r="D12"/>
  <c r="D11"/>
  <c r="D10"/>
  <c r="D7"/>
  <c r="D27" s="1"/>
  <c r="D6"/>
  <c r="D20" i="8"/>
  <c r="D19"/>
  <c r="D18"/>
  <c r="D17"/>
  <c r="D16"/>
  <c r="D15"/>
  <c r="D14"/>
  <c r="D12"/>
  <c r="D11"/>
  <c r="D10"/>
  <c r="D7"/>
  <c r="D28" s="1"/>
  <c r="D6"/>
  <c r="D20" i="9"/>
  <c r="D19"/>
  <c r="D18"/>
  <c r="D17"/>
  <c r="D16"/>
  <c r="D15"/>
  <c r="D14"/>
  <c r="D12"/>
  <c r="D11"/>
  <c r="D10"/>
  <c r="D7"/>
  <c r="D29" s="1"/>
  <c r="D6"/>
  <c r="D20" i="1"/>
  <c r="D19"/>
  <c r="D18"/>
  <c r="D17"/>
  <c r="D16"/>
  <c r="D15"/>
  <c r="D14"/>
  <c r="D12"/>
  <c r="D11"/>
  <c r="D10"/>
  <c r="D7"/>
  <c r="D30" s="1"/>
  <c r="D6"/>
  <c r="D20" i="11"/>
  <c r="D19"/>
  <c r="D18"/>
  <c r="D17"/>
  <c r="D16"/>
  <c r="D15"/>
  <c r="D14"/>
  <c r="D12"/>
  <c r="D11"/>
  <c r="D10"/>
  <c r="D7"/>
  <c r="D29" s="1"/>
  <c r="D6"/>
  <c r="D18" i="139" l="1"/>
  <c r="D17"/>
  <c r="D16"/>
  <c r="D15"/>
  <c r="D14"/>
  <c r="D13"/>
  <c r="D12"/>
  <c r="D10"/>
  <c r="D7"/>
  <c r="D6"/>
  <c r="D18" i="138"/>
  <c r="D17"/>
  <c r="D16"/>
  <c r="D15"/>
  <c r="D14"/>
  <c r="D13"/>
  <c r="D12"/>
  <c r="D10"/>
  <c r="D7"/>
  <c r="D6"/>
  <c r="D18" i="137"/>
  <c r="D17"/>
  <c r="D16"/>
  <c r="D15"/>
  <c r="D14"/>
  <c r="D13"/>
  <c r="D12"/>
  <c r="D10"/>
  <c r="D7"/>
  <c r="D6"/>
  <c r="D18" i="136"/>
  <c r="D17"/>
  <c r="D16"/>
  <c r="D15"/>
  <c r="D14"/>
  <c r="D13"/>
  <c r="D12"/>
  <c r="D10"/>
  <c r="D7"/>
  <c r="D6"/>
  <c r="D18" i="153"/>
  <c r="D17"/>
  <c r="D16"/>
  <c r="D15"/>
  <c r="D14"/>
  <c r="D13"/>
  <c r="D12"/>
  <c r="D10"/>
  <c r="D7"/>
  <c r="D6"/>
  <c r="D18" i="152"/>
  <c r="D17"/>
  <c r="D16"/>
  <c r="D15"/>
  <c r="D14"/>
  <c r="D13"/>
  <c r="D12"/>
  <c r="D10"/>
  <c r="D7"/>
  <c r="D6"/>
  <c r="D18" i="151"/>
  <c r="D17"/>
  <c r="D16"/>
  <c r="D15"/>
  <c r="D14"/>
  <c r="D13"/>
  <c r="D12"/>
  <c r="D10"/>
  <c r="D7"/>
  <c r="D6"/>
  <c r="D18" i="150"/>
  <c r="D17"/>
  <c r="D16"/>
  <c r="D15"/>
  <c r="D14"/>
  <c r="D13"/>
  <c r="D12"/>
  <c r="D10"/>
  <c r="D7"/>
  <c r="D6"/>
  <c r="D18" i="149"/>
  <c r="D17"/>
  <c r="D16"/>
  <c r="D15"/>
  <c r="D14"/>
  <c r="D13"/>
  <c r="D12"/>
  <c r="D10"/>
  <c r="D7"/>
  <c r="D6"/>
  <c r="D18" i="148"/>
  <c r="D17"/>
  <c r="D16"/>
  <c r="D15"/>
  <c r="D14"/>
  <c r="D13"/>
  <c r="D12"/>
  <c r="D10"/>
  <c r="D7"/>
  <c r="D6"/>
  <c r="F19" i="147"/>
  <c r="D18"/>
  <c r="D17"/>
  <c r="D16"/>
  <c r="D15"/>
  <c r="D14"/>
  <c r="D13"/>
  <c r="D12"/>
  <c r="D10"/>
  <c r="D7"/>
  <c r="D24" s="1"/>
  <c r="D6"/>
  <c r="D18" i="146"/>
  <c r="D17"/>
  <c r="D16"/>
  <c r="D15"/>
  <c r="D14"/>
  <c r="D13"/>
  <c r="D12"/>
  <c r="D10"/>
  <c r="D7"/>
  <c r="D24" s="1"/>
  <c r="D6"/>
  <c r="D18" i="145"/>
  <c r="D17"/>
  <c r="D16"/>
  <c r="D15"/>
  <c r="D14"/>
  <c r="D13"/>
  <c r="D12"/>
  <c r="D10"/>
  <c r="D7"/>
  <c r="D24" s="1"/>
  <c r="D6"/>
  <c r="D18" i="144"/>
  <c r="D17"/>
  <c r="D16"/>
  <c r="D15"/>
  <c r="D14"/>
  <c r="D13"/>
  <c r="D12"/>
  <c r="D10"/>
  <c r="D7"/>
  <c r="D24" s="1"/>
  <c r="D6"/>
  <c r="D18" i="143"/>
  <c r="D17"/>
  <c r="D16"/>
  <c r="D15"/>
  <c r="D14"/>
  <c r="D13"/>
  <c r="D12"/>
  <c r="D10"/>
  <c r="D7"/>
  <c r="D24" s="1"/>
  <c r="D6"/>
  <c r="D18" i="155"/>
  <c r="D17"/>
  <c r="D16"/>
  <c r="D15"/>
  <c r="D14"/>
  <c r="D13"/>
  <c r="D12"/>
  <c r="D10"/>
  <c r="D7"/>
  <c r="D24" s="1"/>
  <c r="D6"/>
  <c r="D18" i="154"/>
  <c r="D17"/>
  <c r="D16"/>
  <c r="D15"/>
  <c r="D14"/>
  <c r="D13"/>
  <c r="D12"/>
  <c r="D10"/>
  <c r="D7"/>
  <c r="D24" s="1"/>
  <c r="D6"/>
  <c r="F19" i="146"/>
  <c r="D19"/>
  <c r="F19" i="148"/>
  <c r="D19"/>
  <c r="D5"/>
  <c r="F19" i="149"/>
  <c r="D19"/>
  <c r="D20" s="1"/>
  <c r="D5"/>
  <c r="F19" i="150"/>
  <c r="D19"/>
  <c r="D20" s="1"/>
  <c r="D5"/>
  <c r="F19" i="151"/>
  <c r="D19"/>
  <c r="D20" s="1"/>
  <c r="D5"/>
  <c r="F19" i="152"/>
  <c r="D19"/>
  <c r="D5"/>
  <c r="F19" i="153"/>
  <c r="D19"/>
  <c r="D5"/>
  <c r="F19" i="136"/>
  <c r="D19"/>
  <c r="D20" s="1"/>
  <c r="D5"/>
  <c r="F19" i="137"/>
  <c r="F19" i="139"/>
  <c r="D19"/>
  <c r="D5"/>
  <c r="D18" i="140"/>
  <c r="D17"/>
  <c r="D16"/>
  <c r="D15"/>
  <c r="D14"/>
  <c r="D13"/>
  <c r="D12"/>
  <c r="D10"/>
  <c r="D7"/>
  <c r="D6"/>
  <c r="D18" i="141"/>
  <c r="D17"/>
  <c r="D16"/>
  <c r="D15"/>
  <c r="D14"/>
  <c r="D13"/>
  <c r="D12"/>
  <c r="D10"/>
  <c r="D7"/>
  <c r="D6"/>
  <c r="D18" i="142"/>
  <c r="D17"/>
  <c r="D16"/>
  <c r="D15"/>
  <c r="D14"/>
  <c r="D13"/>
  <c r="D12"/>
  <c r="D10"/>
  <c r="D7"/>
  <c r="D6"/>
  <c r="F19"/>
  <c r="D18" i="128"/>
  <c r="D17"/>
  <c r="D16"/>
  <c r="D15"/>
  <c r="D14"/>
  <c r="D13"/>
  <c r="D12"/>
  <c r="D10"/>
  <c r="D7"/>
  <c r="D6"/>
  <c r="D18" i="129"/>
  <c r="D17"/>
  <c r="D16"/>
  <c r="D15"/>
  <c r="D14"/>
  <c r="D13"/>
  <c r="D12"/>
  <c r="D10"/>
  <c r="D7"/>
  <c r="D6"/>
  <c r="D18" i="130"/>
  <c r="D17"/>
  <c r="D16"/>
  <c r="D15"/>
  <c r="D14"/>
  <c r="D13"/>
  <c r="D12"/>
  <c r="D10"/>
  <c r="D7"/>
  <c r="D6"/>
  <c r="D18" i="131"/>
  <c r="D17"/>
  <c r="D16"/>
  <c r="D15"/>
  <c r="D14"/>
  <c r="D13"/>
  <c r="D12"/>
  <c r="D10"/>
  <c r="D7"/>
  <c r="D6"/>
  <c r="D18" i="133"/>
  <c r="D17"/>
  <c r="D16"/>
  <c r="D15"/>
  <c r="D14"/>
  <c r="D13"/>
  <c r="D12"/>
  <c r="D10"/>
  <c r="D7"/>
  <c r="D6"/>
  <c r="D18" i="134"/>
  <c r="D17"/>
  <c r="D16"/>
  <c r="D15"/>
  <c r="D14"/>
  <c r="D13"/>
  <c r="D12"/>
  <c r="D10"/>
  <c r="D7"/>
  <c r="D6"/>
  <c r="D5" s="1"/>
  <c r="D18" i="135"/>
  <c r="D17"/>
  <c r="D16"/>
  <c r="D15"/>
  <c r="D14"/>
  <c r="D13"/>
  <c r="D12"/>
  <c r="D10"/>
  <c r="D7"/>
  <c r="D26" s="1"/>
  <c r="D6"/>
  <c r="F19" i="154"/>
  <c r="D19"/>
  <c r="D20" s="1"/>
  <c r="D5"/>
  <c r="F19" i="155"/>
  <c r="D19"/>
  <c r="D20" s="1"/>
  <c r="D5"/>
  <c r="F19" i="143"/>
  <c r="D5"/>
  <c r="F19" i="144"/>
  <c r="D19"/>
  <c r="D20" s="1"/>
  <c r="D5"/>
  <c r="F19" i="145"/>
  <c r="D5"/>
  <c r="F19" i="138"/>
  <c r="D19"/>
  <c r="D20" s="1"/>
  <c r="D5"/>
  <c r="F19" i="140"/>
  <c r="D5"/>
  <c r="F19" i="141"/>
  <c r="F19" i="128"/>
  <c r="F19" i="129"/>
  <c r="D19"/>
  <c r="D5"/>
  <c r="F19" i="130"/>
  <c r="D5"/>
  <c r="F19" i="131"/>
  <c r="D5"/>
  <c r="F19" i="133"/>
  <c r="D19"/>
  <c r="D20" s="1"/>
  <c r="F19" i="134"/>
  <c r="D19"/>
  <c r="F19" i="135"/>
  <c r="D5" i="53"/>
  <c r="D5" i="55"/>
  <c r="D21" i="37"/>
  <c r="D22" s="1"/>
  <c r="D5" i="38"/>
  <c r="D18" i="127"/>
  <c r="D17"/>
  <c r="D16"/>
  <c r="D15"/>
  <c r="D14"/>
  <c r="D13"/>
  <c r="D12"/>
  <c r="D10"/>
  <c r="D7"/>
  <c r="D6"/>
  <c r="F19"/>
  <c r="F21" i="53"/>
  <c r="F21" i="54"/>
  <c r="D5"/>
  <c r="F21" i="55"/>
  <c r="F21" i="56"/>
  <c r="D21"/>
  <c r="D5"/>
  <c r="F21" i="57"/>
  <c r="F21" i="36"/>
  <c r="F21" i="37"/>
  <c r="F21" i="38"/>
  <c r="F21" i="39"/>
  <c r="F21" i="40"/>
  <c r="F21" i="41"/>
  <c r="F21" i="43"/>
  <c r="F21" i="44"/>
  <c r="F19" i="119"/>
  <c r="D18"/>
  <c r="D17"/>
  <c r="D16"/>
  <c r="D15"/>
  <c r="D14"/>
  <c r="D13"/>
  <c r="D12"/>
  <c r="D10"/>
  <c r="D7"/>
  <c r="D6"/>
  <c r="D5" s="1"/>
  <c r="F19" i="120"/>
  <c r="D18"/>
  <c r="D17"/>
  <c r="D16"/>
  <c r="D15"/>
  <c r="D14"/>
  <c r="D13"/>
  <c r="D12"/>
  <c r="D10"/>
  <c r="D7"/>
  <c r="D6"/>
  <c r="D5" s="1"/>
  <c r="F19" i="121"/>
  <c r="D18"/>
  <c r="D17"/>
  <c r="D16"/>
  <c r="D15"/>
  <c r="D14"/>
  <c r="D13"/>
  <c r="D12"/>
  <c r="D10"/>
  <c r="D7"/>
  <c r="D26" s="1"/>
  <c r="D6"/>
  <c r="D18" i="122"/>
  <c r="D17"/>
  <c r="D16"/>
  <c r="D15"/>
  <c r="D14"/>
  <c r="D13"/>
  <c r="D12"/>
  <c r="D10"/>
  <c r="D7"/>
  <c r="D6"/>
  <c r="D18" i="123"/>
  <c r="D17"/>
  <c r="D16"/>
  <c r="D15"/>
  <c r="D14"/>
  <c r="D13"/>
  <c r="D12"/>
  <c r="D10"/>
  <c r="D7"/>
  <c r="D6"/>
  <c r="D18" i="124"/>
  <c r="D17"/>
  <c r="D16"/>
  <c r="D15"/>
  <c r="D14"/>
  <c r="D13"/>
  <c r="D12"/>
  <c r="D10"/>
  <c r="D7"/>
  <c r="D26" s="1"/>
  <c r="D6"/>
  <c r="D18" i="125"/>
  <c r="D17"/>
  <c r="D16"/>
  <c r="D15"/>
  <c r="D14"/>
  <c r="D13"/>
  <c r="D12"/>
  <c r="D10"/>
  <c r="D7"/>
  <c r="D6"/>
  <c r="F19" i="122"/>
  <c r="F19" i="123"/>
  <c r="D19"/>
  <c r="F19" i="124"/>
  <c r="F19" i="125"/>
  <c r="D19"/>
  <c r="D18" i="126"/>
  <c r="D17"/>
  <c r="D16"/>
  <c r="D15"/>
  <c r="D14"/>
  <c r="D13"/>
  <c r="D12"/>
  <c r="D10"/>
  <c r="D7"/>
  <c r="D6"/>
  <c r="F19"/>
  <c r="D5" i="19"/>
  <c r="D5" i="109"/>
  <c r="D5" i="21"/>
  <c r="D5" i="26"/>
  <c r="D5" i="65"/>
  <c r="D7" i="29"/>
  <c r="D28" s="1"/>
  <c r="D6"/>
  <c r="F21" i="45"/>
  <c r="D5"/>
  <c r="F21" i="46"/>
  <c r="D21"/>
  <c r="D22" s="1"/>
  <c r="D5"/>
  <c r="F21" i="47"/>
  <c r="F21" i="48"/>
  <c r="D21"/>
  <c r="D22" s="1"/>
  <c r="D5"/>
  <c r="F21" i="49"/>
  <c r="F21" i="50"/>
  <c r="D21"/>
  <c r="D22" s="1"/>
  <c r="D5"/>
  <c r="F21" i="16"/>
  <c r="F21" i="32"/>
  <c r="F21" i="33"/>
  <c r="D21"/>
  <c r="D5"/>
  <c r="F21" i="34"/>
  <c r="D21"/>
  <c r="D5"/>
  <c r="F21" i="35"/>
  <c r="D21"/>
  <c r="D5"/>
  <c r="F21" i="17"/>
  <c r="F21" i="18"/>
  <c r="D21"/>
  <c r="D5"/>
  <c r="F21" i="66"/>
  <c r="F21" i="19"/>
  <c r="F21" i="109"/>
  <c r="F21" i="20"/>
  <c r="D21"/>
  <c r="D22" s="1"/>
  <c r="D5"/>
  <c r="F21" i="21"/>
  <c r="D21"/>
  <c r="F21" i="22"/>
  <c r="D21"/>
  <c r="D5"/>
  <c r="F21" i="23"/>
  <c r="D21"/>
  <c r="D5"/>
  <c r="F21" i="24"/>
  <c r="D21"/>
  <c r="F21" i="25"/>
  <c r="D5"/>
  <c r="F21" i="26"/>
  <c r="F21" i="65"/>
  <c r="F21" i="27"/>
  <c r="F21" i="28"/>
  <c r="F21" i="29"/>
  <c r="F21" i="30"/>
  <c r="F21" i="31"/>
  <c r="F21" i="11"/>
  <c r="F21" i="12"/>
  <c r="F21" i="13"/>
  <c r="F21" i="14"/>
  <c r="F21" i="15"/>
  <c r="F21" i="10"/>
  <c r="D5"/>
  <c r="F21" i="4"/>
  <c r="F21" i="5"/>
  <c r="F21" i="6"/>
  <c r="F21" i="7"/>
  <c r="F21" i="8"/>
  <c r="F21" i="9"/>
  <c r="D5" i="141" l="1"/>
  <c r="D5" i="128"/>
  <c r="D19" i="131"/>
  <c r="D20" s="1"/>
  <c r="D19" i="135"/>
  <c r="D20" s="1"/>
  <c r="D21" i="55"/>
  <c r="D22" s="1"/>
  <c r="D21" i="38"/>
  <c r="D22" s="1"/>
  <c r="D21" i="39"/>
  <c r="D22" s="1"/>
  <c r="D21" i="44"/>
  <c r="D22" s="1"/>
  <c r="D5"/>
  <c r="D5" i="47"/>
  <c r="D21" i="49"/>
  <c r="D5"/>
  <c r="D19" i="119"/>
  <c r="D19" i="120"/>
  <c r="D20" s="1"/>
  <c r="D5" i="121"/>
  <c r="D19"/>
  <c r="D19" i="122"/>
  <c r="D5"/>
  <c r="D5" i="123"/>
  <c r="D5" i="124"/>
  <c r="D19"/>
  <c r="D20" s="1"/>
  <c r="D5" i="125"/>
  <c r="D21" i="65"/>
  <c r="D22" s="1"/>
  <c r="D5" i="4"/>
  <c r="D5" i="5"/>
  <c r="D5" i="6"/>
  <c r="D5" i="7"/>
  <c r="D21" i="8"/>
  <c r="D5"/>
  <c r="D5" i="146"/>
  <c r="D5" i="147"/>
  <c r="D19"/>
  <c r="D20" s="1"/>
  <c r="D5" i="137"/>
  <c r="D19" i="141"/>
  <c r="D20" s="1"/>
  <c r="D19" i="128"/>
  <c r="D20" s="1"/>
  <c r="D5" i="133"/>
  <c r="D5" i="135"/>
  <c r="D21" i="54"/>
  <c r="D22" s="1"/>
  <c r="D5" i="57"/>
  <c r="D5" i="36"/>
  <c r="D21"/>
  <c r="D22" s="1"/>
  <c r="D5" i="37"/>
  <c r="D5" i="39"/>
  <c r="D5" i="40"/>
  <c r="D21" i="41"/>
  <c r="D5"/>
  <c r="D5" i="127"/>
  <c r="D21" i="43"/>
  <c r="D5"/>
  <c r="D21" i="47"/>
  <c r="D22" s="1"/>
  <c r="D5" i="16"/>
  <c r="D21"/>
  <c r="D22" s="1"/>
  <c r="D21" i="32"/>
  <c r="D5"/>
  <c r="D5" i="126"/>
  <c r="D19"/>
  <c r="D5" i="17"/>
  <c r="D21"/>
  <c r="D22" s="1"/>
  <c r="D21" i="19"/>
  <c r="D22" s="1"/>
  <c r="D21" i="109"/>
  <c r="D22" s="1"/>
  <c r="D5" i="24"/>
  <c r="D21" i="26"/>
  <c r="D22" s="1"/>
  <c r="D5" i="27"/>
  <c r="D21" i="28"/>
  <c r="D22" s="1"/>
  <c r="D5"/>
  <c r="D21" i="29"/>
  <c r="D22" s="1"/>
  <c r="D5"/>
  <c r="D5" i="30"/>
  <c r="D21"/>
  <c r="D22" s="1"/>
  <c r="D5" i="31"/>
  <c r="D21"/>
  <c r="D22" s="1"/>
  <c r="D5" i="11"/>
  <c r="D21" i="12"/>
  <c r="D22" s="1"/>
  <c r="D5"/>
  <c r="D5" i="13"/>
  <c r="D21"/>
  <c r="D22" s="1"/>
  <c r="D21" i="14"/>
  <c r="D22" s="1"/>
  <c r="D5"/>
  <c r="D21" i="15"/>
  <c r="D22" s="1"/>
  <c r="D5"/>
  <c r="D21" i="4"/>
  <c r="D22" s="1"/>
  <c r="D21" i="5"/>
  <c r="D22" s="1"/>
  <c r="D21" i="6"/>
  <c r="D22" s="1"/>
  <c r="D21" i="7"/>
  <c r="D22" s="1"/>
  <c r="D21" i="9"/>
  <c r="D22" s="1"/>
  <c r="D5"/>
  <c r="D5" i="1"/>
  <c r="D19" i="137"/>
  <c r="D20" s="1"/>
  <c r="D19" i="145"/>
  <c r="D20" s="1"/>
  <c r="D19" i="143"/>
  <c r="D20" s="1"/>
  <c r="D20" i="146"/>
  <c r="D20" i="148"/>
  <c r="D20" i="152"/>
  <c r="D20" i="153"/>
  <c r="D20" i="139"/>
  <c r="D19" i="140"/>
  <c r="D20" s="1"/>
  <c r="D19" i="142"/>
  <c r="D20" s="1"/>
  <c r="D5"/>
  <c r="D19" i="130"/>
  <c r="D20" s="1"/>
  <c r="D20" i="129"/>
  <c r="D20" i="134"/>
  <c r="D21" i="53"/>
  <c r="D22" s="1"/>
  <c r="D21" i="57"/>
  <c r="D22" s="1"/>
  <c r="D21" i="40"/>
  <c r="D22" s="1"/>
  <c r="D19" i="127"/>
  <c r="D20" s="1"/>
  <c r="D22" i="56"/>
  <c r="D22" i="41"/>
  <c r="D22" i="43"/>
  <c r="D21" i="45"/>
  <c r="D22" s="1"/>
  <c r="D20" i="119"/>
  <c r="D20" i="121"/>
  <c r="D20" i="122"/>
  <c r="D20" i="123"/>
  <c r="D20" i="125"/>
  <c r="D20" i="126"/>
  <c r="D21" i="66"/>
  <c r="D22" s="1"/>
  <c r="D5"/>
  <c r="D21" i="25"/>
  <c r="D22" s="1"/>
  <c r="D21" i="27"/>
  <c r="D22" s="1"/>
  <c r="D21" i="11"/>
  <c r="D22" s="1"/>
  <c r="D21" i="10"/>
  <c r="D22" s="1"/>
  <c r="D22" i="49"/>
  <c r="D22" i="32"/>
  <c r="D22" i="33"/>
  <c r="D22" i="34"/>
  <c r="D22" i="35"/>
  <c r="D22" i="18"/>
  <c r="D22" i="21"/>
  <c r="D22" i="22"/>
  <c r="D22" i="23"/>
  <c r="D22" i="24"/>
  <c r="D22" i="8"/>
  <c r="D21" i="1"/>
  <c r="F21" l="1"/>
  <c r="D22" l="1"/>
</calcChain>
</file>

<file path=xl/sharedStrings.xml><?xml version="1.0" encoding="utf-8"?>
<sst xmlns="http://schemas.openxmlformats.org/spreadsheetml/2006/main" count="4630" uniqueCount="43">
  <si>
    <t>№</t>
  </si>
  <si>
    <t>Статья</t>
  </si>
  <si>
    <t>ед.изм.</t>
  </si>
  <si>
    <t>Стоимость</t>
  </si>
  <si>
    <t>содержание жилья</t>
  </si>
  <si>
    <t>ремонт жилья</t>
  </si>
  <si>
    <t>Запланировано по статье "содержание жилья" общего имущества МКД</t>
  </si>
  <si>
    <t>Управление многоквартирным домом</t>
  </si>
  <si>
    <t>Аварийно-диспетчерское сопровожд.</t>
  </si>
  <si>
    <t>Вывоз ТБО</t>
  </si>
  <si>
    <t>Электрика</t>
  </si>
  <si>
    <t>Содержание придомовой территории</t>
  </si>
  <si>
    <t>Уборка лестничных клеток</t>
  </si>
  <si>
    <t>Эксплуатация здания и оборудования</t>
  </si>
  <si>
    <t>Всего затрат</t>
  </si>
  <si>
    <t>Планируемый остаток на конец года</t>
  </si>
  <si>
    <t>Запланировано по статье "ремонт жилья" общего имущества МКД</t>
  </si>
  <si>
    <t>Ремонт жилья:</t>
  </si>
  <si>
    <t>Водосточные трубы</t>
  </si>
  <si>
    <t>Трубопровод (розлив)</t>
  </si>
  <si>
    <t>Плановая сумма доходов на 2013 год</t>
  </si>
  <si>
    <t>Дезинсекция и дератизация</t>
  </si>
  <si>
    <t>Годовой план работ по содержанию и текущему ремонту общего имущества в МКД на 2013 год</t>
  </si>
  <si>
    <t>охрана тепловых узлов</t>
  </si>
  <si>
    <t>руб.</t>
  </si>
  <si>
    <t>составление энергопаспорта</t>
  </si>
  <si>
    <t>услуги банка</t>
  </si>
  <si>
    <t>Годовой план работ по содержанию и текущему ремонту общего имущества в МКД на 2014 год</t>
  </si>
  <si>
    <t>Плановая сумма доходов на 2014 год</t>
  </si>
  <si>
    <t>Плановая сумма доходов на 2043 год</t>
  </si>
  <si>
    <t>Работы необходимые для надлежащего содержания несущих конструкций(фундаментов, стен, колонн и столбов, перекрытий и покрытий, балок ригелей, лестниц, несущих элементов крыш) и несущих конструкций (перегородок, внутренней отделки, полов) многоквартирных домов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</si>
  <si>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</si>
  <si>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Работы и услуги по  содержанию  иного общего имущества в многоквартирном  доме </t>
  </si>
  <si>
    <t>циркуляционный насос</t>
  </si>
  <si>
    <t>подъездное освещения</t>
  </si>
  <si>
    <t>итого</t>
  </si>
  <si>
    <t>подъездное освещение</t>
  </si>
  <si>
    <t>общедомовый приборы учета холодной воды</t>
  </si>
  <si>
    <t>замена циркуляционного насоса</t>
  </si>
  <si>
    <t>утепление розлива</t>
  </si>
  <si>
    <t>установка общедомовых приборов учета ХВС</t>
  </si>
  <si>
    <t>установка циркуляционного насоса</t>
  </si>
  <si>
    <t>общедомовый приборы учета ХВС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</si>
</sst>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u/>
      <sz val="8"/>
      <color theme="10"/>
      <name val="Arial"/>
      <family val="2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horizontal="left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3" fillId="0" borderId="0" xfId="0" applyFont="1"/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 indent="2"/>
      <protection hidden="1"/>
    </xf>
    <xf numFmtId="4" fontId="3" fillId="2" borderId="1" xfId="0" applyNumberFormat="1" applyFont="1" applyFill="1" applyBorder="1" applyAlignment="1" applyProtection="1">
      <alignment vertical="center"/>
      <protection hidden="1"/>
    </xf>
    <xf numFmtId="4" fontId="2" fillId="2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/>
      <protection hidden="1"/>
    </xf>
    <xf numFmtId="4" fontId="3" fillId="0" borderId="0" xfId="0" applyNumberFormat="1" applyFont="1"/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center"/>
      <protection hidden="1"/>
    </xf>
    <xf numFmtId="2" fontId="3" fillId="0" borderId="0" xfId="0" applyNumberFormat="1" applyFont="1"/>
    <xf numFmtId="164" fontId="3" fillId="0" borderId="4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4" fontId="3" fillId="0" borderId="5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3" fillId="0" borderId="5" xfId="0" applyFont="1" applyBorder="1" applyAlignment="1" applyProtection="1">
      <alignment horizontal="left"/>
      <protection hidden="1"/>
    </xf>
    <xf numFmtId="0" fontId="5" fillId="0" borderId="5" xfId="0" applyFont="1" applyBorder="1" applyAlignment="1">
      <alignment wrapText="1"/>
    </xf>
    <xf numFmtId="164" fontId="3" fillId="0" borderId="5" xfId="0" applyNumberFormat="1" applyFont="1" applyBorder="1" applyAlignment="1" applyProtection="1">
      <alignment horizontal="center"/>
      <protection hidden="1"/>
    </xf>
    <xf numFmtId="164" fontId="3" fillId="0" borderId="5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left" indent="2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7" fillId="0" borderId="5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0"/>
  <sheetViews>
    <sheetView workbookViewId="0">
      <selection activeCell="B27" sqref="B27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209709.88800000004</v>
      </c>
    </row>
    <row r="6" spans="1:6">
      <c r="A6" s="5"/>
      <c r="B6" s="7" t="s">
        <v>4</v>
      </c>
      <c r="C6" s="13" t="s">
        <v>24</v>
      </c>
      <c r="D6" s="12">
        <f>830.6*12*16.39</f>
        <v>163362.40800000002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830.6*4.65*12</f>
        <v>46347.48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5" t="s">
        <v>24</v>
      </c>
      <c r="D10" s="20">
        <f>830.6*12*0.003</f>
        <v>29.901600000000002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830.6*12*2.54</f>
        <v>25316.688000000002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830.6*12*2.11</f>
        <v>21030.792000000001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830.6*12*2.6</f>
        <v>25914.720000000001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830.6*12*1.92</f>
        <v>19137.024000000001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830.6*12*2.34</f>
        <v>23323.248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830.6*12*1.36</f>
        <v>13555.392000000002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830.6*12*3.03</f>
        <v>30200.616000000002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830.6*12*0.07</f>
        <v>697.70400000000006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830.6*12*0.42</f>
        <v>4186.2240000000002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183392.30960000004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-20029.901600000012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/>
      <c r="D24" s="11"/>
    </row>
    <row r="25" spans="1:6">
      <c r="A25" s="5"/>
      <c r="B25" s="37" t="s">
        <v>33</v>
      </c>
      <c r="C25" s="13" t="s">
        <v>24</v>
      </c>
      <c r="D25" s="12">
        <v>1600</v>
      </c>
    </row>
    <row r="26" spans="1:6">
      <c r="A26" s="5"/>
      <c r="B26" s="37" t="s">
        <v>18</v>
      </c>
      <c r="C26" s="13" t="s">
        <v>24</v>
      </c>
      <c r="D26" s="12">
        <v>1200</v>
      </c>
    </row>
    <row r="27" spans="1:6">
      <c r="A27" s="5"/>
      <c r="B27" s="37" t="s">
        <v>42</v>
      </c>
      <c r="C27" s="13" t="s">
        <v>24</v>
      </c>
      <c r="D27" s="12">
        <v>14000</v>
      </c>
    </row>
    <row r="28" spans="1:6">
      <c r="A28" s="5"/>
      <c r="B28" s="37" t="s">
        <v>34</v>
      </c>
      <c r="C28" s="13" t="s">
        <v>24</v>
      </c>
      <c r="D28" s="12">
        <v>4000</v>
      </c>
    </row>
    <row r="29" spans="1:6">
      <c r="A29" s="29"/>
      <c r="B29" s="23" t="s">
        <v>35</v>
      </c>
      <c r="C29" s="13" t="s">
        <v>24</v>
      </c>
      <c r="D29" s="22">
        <f>D28+D27+D26+D25</f>
        <v>20800</v>
      </c>
    </row>
    <row r="30" spans="1:6">
      <c r="A30" s="5"/>
      <c r="B30" s="6" t="s">
        <v>15</v>
      </c>
      <c r="C30" s="13" t="s">
        <v>24</v>
      </c>
      <c r="D30" s="34">
        <f>D7-D29</f>
        <v>25547.480000000003</v>
      </c>
    </row>
  </sheetData>
  <mergeCells count="3">
    <mergeCell ref="A2:D2"/>
    <mergeCell ref="B9:D9"/>
    <mergeCell ref="B23:D23"/>
  </mergeCells>
  <pageMargins left="0.7" right="0.7" top="0.35" bottom="0.43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topLeftCell="A2"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197388.86399999997</v>
      </c>
    </row>
    <row r="6" spans="1:6">
      <c r="A6" s="5"/>
      <c r="B6" s="7" t="s">
        <v>4</v>
      </c>
      <c r="C6" s="13" t="s">
        <v>24</v>
      </c>
      <c r="D6" s="12">
        <f>781.8*12*16.39</f>
        <v>153764.42399999997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781.8*4.65*12</f>
        <v>43624.44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781.8*12*0.003</f>
        <v>28.144799999999996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781.8*12*2.54</f>
        <v>23829.263999999996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781.8*12*2.11</f>
        <v>19795.175999999996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781.8*12*2.6</f>
        <v>24392.159999999996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781.8*12*1.92</f>
        <v>18012.671999999995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781.8*12*2.34</f>
        <v>21952.943999999996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781.8*12*1.36</f>
        <v>12758.975999999999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781.8*12*3.03</f>
        <v>28426.247999999992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781.8*12*0.07</f>
        <v>656.71199999999999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781.8*12*0.42</f>
        <v>3940.271999999999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173792.56879999998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-20028.144800000009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/>
      <c r="D24" s="11"/>
    </row>
    <row r="25" spans="1:6">
      <c r="A25" s="5"/>
      <c r="B25" s="37" t="s">
        <v>42</v>
      </c>
      <c r="C25" s="13" t="s">
        <v>24</v>
      </c>
      <c r="D25" s="12">
        <v>14000</v>
      </c>
    </row>
    <row r="26" spans="1:6">
      <c r="A26" s="5"/>
      <c r="B26" s="37" t="s">
        <v>34</v>
      </c>
      <c r="C26" s="13" t="s">
        <v>24</v>
      </c>
      <c r="D26" s="12">
        <v>4000</v>
      </c>
    </row>
    <row r="27" spans="1:6">
      <c r="A27" s="5"/>
      <c r="B27" s="23" t="s">
        <v>35</v>
      </c>
      <c r="C27" s="13" t="s">
        <v>24</v>
      </c>
      <c r="D27" s="22">
        <f>D26+D25</f>
        <v>18000</v>
      </c>
    </row>
    <row r="28" spans="1:6">
      <c r="B28" s="6" t="s">
        <v>15</v>
      </c>
      <c r="C28" s="13" t="s">
        <v>24</v>
      </c>
      <c r="D28" s="11">
        <f>D7-D27</f>
        <v>25624.440000000002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topLeftCell="A7" workbookViewId="0">
      <selection activeCell="D6" sqref="D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22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20</v>
      </c>
      <c r="C5" s="13" t="s">
        <v>24</v>
      </c>
      <c r="D5" s="11">
        <f>D6+D7</f>
        <v>264407.70000000007</v>
      </c>
    </row>
    <row r="6" spans="1:6">
      <c r="A6" s="5"/>
      <c r="B6" s="7" t="s">
        <v>4</v>
      </c>
      <c r="C6" s="13" t="s">
        <v>24</v>
      </c>
      <c r="D6" s="12">
        <f>823.7*12*20.67</f>
        <v>204310.54800000004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823.7*6.08*12</f>
        <v>60097.152000000002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823.7*12*2.38</f>
        <v>23524.872000000003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823.7*12*4.82</f>
        <v>47642.808000000012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823.7*12*2.29</f>
        <v>22635.276000000005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823.7*12*3.4</f>
        <v>33606.960000000006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823.7*12*2.61</f>
        <v>25798.284000000003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823.7*12*4.64</f>
        <v>45863.616000000002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823.7*12*0.1</f>
        <v>988.44000000000017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823.7*12*0.43</f>
        <v>4250.2920000000004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224310.54800000004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7" t="s">
        <v>19</v>
      </c>
      <c r="C23" s="13" t="s">
        <v>24</v>
      </c>
      <c r="D23" s="12">
        <v>15000</v>
      </c>
    </row>
    <row r="24" spans="1:6">
      <c r="A24" s="5"/>
      <c r="B24" s="6" t="s">
        <v>15</v>
      </c>
      <c r="C24" s="13" t="s">
        <v>24</v>
      </c>
      <c r="D24" s="11">
        <f>D7-D23</f>
        <v>45097.152000000002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workbookViewId="0">
      <selection activeCell="D6" sqref="D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22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20</v>
      </c>
      <c r="C5" s="13" t="s">
        <v>24</v>
      </c>
      <c r="D5" s="11">
        <f>D6+D7</f>
        <v>268356</v>
      </c>
    </row>
    <row r="6" spans="1:6">
      <c r="A6" s="5"/>
      <c r="B6" s="7" t="s">
        <v>4</v>
      </c>
      <c r="C6" s="13" t="s">
        <v>24</v>
      </c>
      <c r="D6" s="12">
        <f>836*12*20.67</f>
        <v>207361.44000000003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836*6.08*12</f>
        <v>60994.559999999998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836*12*2.38</f>
        <v>23876.16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836*12*4.82</f>
        <v>48354.240000000005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836*12*2.29</f>
        <v>22973.279999999999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836*12*3.4</f>
        <v>34108.799999999996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836*12*2.61</f>
        <v>26183.52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836*12*4.64</f>
        <v>46548.479999999996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836*12*0.1</f>
        <v>1003.2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836*12*0.43</f>
        <v>4313.76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227361.43999999997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-19999.999999999942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7" t="s">
        <v>19</v>
      </c>
      <c r="C23" s="13" t="s">
        <v>24</v>
      </c>
      <c r="D23" s="12">
        <v>15000</v>
      </c>
    </row>
    <row r="24" spans="1:6">
      <c r="A24" s="5"/>
      <c r="B24" s="6" t="s">
        <v>15</v>
      </c>
      <c r="C24" s="13" t="s">
        <v>24</v>
      </c>
      <c r="D24" s="11">
        <f>D7-D23</f>
        <v>45994.559999999998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workbookViewId="0">
      <selection sqref="A1:XFD104857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22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20</v>
      </c>
      <c r="C5" s="13" t="s">
        <v>24</v>
      </c>
      <c r="D5" s="11">
        <f>D6+D7</f>
        <v>263765.70000000007</v>
      </c>
    </row>
    <row r="6" spans="1:6">
      <c r="A6" s="5"/>
      <c r="B6" s="7" t="s">
        <v>4</v>
      </c>
      <c r="C6" s="13" t="s">
        <v>24</v>
      </c>
      <c r="D6" s="12">
        <f>821.7*12*20.67</f>
        <v>203814.46800000005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821.7*6.08*12</f>
        <v>59951.232000000004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821.7*12*2.38</f>
        <v>23467.752000000004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821.7*12*4.82</f>
        <v>47527.128000000012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821.7*12*2.29</f>
        <v>22580.316000000003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821.7*12*3.4</f>
        <v>33525.360000000001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821.7*12*2.61</f>
        <v>25735.644000000004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821.7*12*4.64</f>
        <v>45752.256000000001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821.7*12*0.1</f>
        <v>986.04000000000019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821.7*12*0.43</f>
        <v>4239.9720000000007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223814.46800000002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7" t="s">
        <v>19</v>
      </c>
      <c r="C23" s="13" t="s">
        <v>24</v>
      </c>
      <c r="D23" s="12">
        <v>15000</v>
      </c>
    </row>
    <row r="24" spans="1:6">
      <c r="A24" s="5"/>
      <c r="B24" s="6" t="s">
        <v>15</v>
      </c>
      <c r="C24" s="13" t="s">
        <v>24</v>
      </c>
      <c r="D24" s="11">
        <f>D7-D23</f>
        <v>44951.232000000004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activeCell="E20" sqref="E20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311615.03999999998</v>
      </c>
    </row>
    <row r="6" spans="1:6">
      <c r="A6" s="5"/>
      <c r="B6" s="7" t="s">
        <v>4</v>
      </c>
      <c r="C6" s="13" t="s">
        <v>24</v>
      </c>
      <c r="D6" s="12">
        <f>1283*12*20.24</f>
        <v>311615.03999999998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1">
        <f>1283*12*4.56</f>
        <v>70205.759999999995</v>
      </c>
      <c r="F9" s="19">
        <v>12.62</v>
      </c>
    </row>
    <row r="10" spans="1:6" ht="42.6" customHeight="1">
      <c r="A10" s="29"/>
      <c r="B10" s="30" t="s">
        <v>31</v>
      </c>
      <c r="C10" s="13" t="s">
        <v>24</v>
      </c>
      <c r="D10" s="31">
        <f>1283*12*5.83</f>
        <v>89758.680000000008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1">
        <f>1283*12*9.85</f>
        <v>151650.6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311615.04000000004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  <pageSetup paperSize="9" orientation="portrait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sqref="A1:XFD1048576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311590.75199999998</v>
      </c>
    </row>
    <row r="6" spans="1:6">
      <c r="A6" s="5"/>
      <c r="B6" s="7" t="s">
        <v>4</v>
      </c>
      <c r="C6" s="13" t="s">
        <v>24</v>
      </c>
      <c r="D6" s="12">
        <f>1282.9*12*20.24</f>
        <v>311590.75199999998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1">
        <f>1282.9*12*4.56</f>
        <v>70200.288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1">
        <f>1282.9*12*5.83</f>
        <v>89751.684000000008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1">
        <f>1282.9*12*9.85</f>
        <v>151638.78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311590.75199999998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30"/>
  <sheetViews>
    <sheetView workbookViewId="0">
      <selection activeCell="B27" sqref="B27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209709.88800000004</v>
      </c>
    </row>
    <row r="6" spans="1:6">
      <c r="A6" s="5"/>
      <c r="B6" s="7" t="s">
        <v>4</v>
      </c>
      <c r="C6" s="13" t="s">
        <v>24</v>
      </c>
      <c r="D6" s="12">
        <f>830.6*12*16.39</f>
        <v>163362.40800000002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830.6*4.65*12</f>
        <v>46347.48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830.6*12*0.003</f>
        <v>29.901600000000002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830.6*12*2.54</f>
        <v>25316.688000000002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830.6*12*2.11</f>
        <v>21030.792000000001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830.6*12*2.6</f>
        <v>25914.720000000001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830.6*12*1.92</f>
        <v>19137.024000000001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830.6*12*2.34</f>
        <v>23323.248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830.6*12*1.36</f>
        <v>13555.392000000002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830.6*12*3.03</f>
        <v>30200.616000000002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830.6*12*0.07</f>
        <v>697.70400000000006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830.6*12*0.42</f>
        <v>4186.2240000000002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183392.30960000004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-20029.901600000012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/>
      <c r="D24" s="11"/>
    </row>
    <row r="25" spans="1:6">
      <c r="A25" s="5"/>
      <c r="B25" s="37" t="s">
        <v>33</v>
      </c>
      <c r="C25" s="13" t="s">
        <v>24</v>
      </c>
      <c r="D25" s="12">
        <v>23000</v>
      </c>
    </row>
    <row r="26" spans="1:6">
      <c r="A26" s="5"/>
      <c r="B26" s="37" t="s">
        <v>18</v>
      </c>
      <c r="C26" s="13" t="s">
        <v>24</v>
      </c>
      <c r="D26" s="12">
        <v>1200</v>
      </c>
    </row>
    <row r="27" spans="1:6">
      <c r="A27" s="5"/>
      <c r="B27" s="37" t="s">
        <v>42</v>
      </c>
      <c r="C27" s="13" t="s">
        <v>24</v>
      </c>
      <c r="D27" s="12">
        <v>14000</v>
      </c>
    </row>
    <row r="28" spans="1:6">
      <c r="A28" s="5"/>
      <c r="B28" s="37" t="s">
        <v>34</v>
      </c>
      <c r="C28" s="13" t="s">
        <v>24</v>
      </c>
      <c r="D28" s="12">
        <v>4000</v>
      </c>
    </row>
    <row r="29" spans="1:6">
      <c r="B29" s="23" t="s">
        <v>35</v>
      </c>
      <c r="C29" s="13" t="s">
        <v>24</v>
      </c>
      <c r="D29" s="22">
        <f>D28+D27+D26+D25</f>
        <v>42200</v>
      </c>
    </row>
    <row r="30" spans="1:6">
      <c r="B30" s="6" t="s">
        <v>15</v>
      </c>
      <c r="C30" s="13" t="s">
        <v>24</v>
      </c>
      <c r="D30" s="34">
        <f>D7-D29</f>
        <v>4147.4800000000032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209709.88800000004</v>
      </c>
    </row>
    <row r="6" spans="1:6">
      <c r="A6" s="5"/>
      <c r="B6" s="7" t="s">
        <v>4</v>
      </c>
      <c r="C6" s="13" t="s">
        <v>24</v>
      </c>
      <c r="D6" s="12">
        <f>830.6*12*16.39</f>
        <v>163362.40800000002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830.6*4.65*12</f>
        <v>46347.48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830.6*12*0.003</f>
        <v>29.901600000000002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830.6*12*2.54</f>
        <v>25316.688000000002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830.6*12*2.11</f>
        <v>21030.792000000001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830.6*12*2.6</f>
        <v>25914.720000000001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830.6*12*1.92</f>
        <v>19137.024000000001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830.6*12*2.34</f>
        <v>23323.248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830.6*12*1.34</f>
        <v>13356.048000000003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830.6*12*3.03</f>
        <v>30200.616000000002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830.6*12*0.07</f>
        <v>697.70400000000006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830.6*12*0.42</f>
        <v>4186.2240000000002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183192.9656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-19830.557599999971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B28" s="23" t="s">
        <v>35</v>
      </c>
      <c r="C28" s="13" t="s">
        <v>24</v>
      </c>
      <c r="D28" s="22">
        <f>D27+D26+D25</f>
        <v>19200</v>
      </c>
    </row>
    <row r="29" spans="1:6">
      <c r="B29" s="6" t="s">
        <v>15</v>
      </c>
      <c r="C29" s="13" t="s">
        <v>24</v>
      </c>
      <c r="D29" s="34">
        <f>D7-D28</f>
        <v>27147.480000000003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97028.064000000013</v>
      </c>
    </row>
    <row r="6" spans="1:6">
      <c r="A6" s="5"/>
      <c r="B6" s="7" t="s">
        <v>4</v>
      </c>
      <c r="C6" s="13" t="s">
        <v>24</v>
      </c>
      <c r="D6" s="12">
        <f>384.3*12*16.39</f>
        <v>75584.124000000011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384.3*4.65*12</f>
        <v>21443.940000000002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384.3*12*0.003</f>
        <v>13.834800000000001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384.3*12*2.54</f>
        <v>11713.464000000002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384.3*12*2.11</f>
        <v>9730.4760000000006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384.3*12*2.6</f>
        <v>11990.160000000002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384.3*12*1.92</f>
        <v>8854.2720000000008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384.3*12*2.34</f>
        <v>10791.144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384.3*12*1.36</f>
        <v>6271.7760000000007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384.3*12*3.03</f>
        <v>13973.148000000001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384.3*12*0.07</f>
        <v>322.81200000000007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384.3*12*0.42</f>
        <v>1936.8720000000001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95597.958800000008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-20013.834799999997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/>
      <c r="D24" s="11"/>
    </row>
    <row r="25" spans="1:6" ht="11.4" customHeight="1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B27" s="37" t="s">
        <v>34</v>
      </c>
      <c r="C27" s="13" t="s">
        <v>24</v>
      </c>
      <c r="D27" s="12">
        <v>2000</v>
      </c>
    </row>
    <row r="28" spans="1:6">
      <c r="B28" s="23" t="s">
        <v>35</v>
      </c>
      <c r="C28" s="13" t="s">
        <v>24</v>
      </c>
      <c r="D28" s="22">
        <f>D27+D26+D25</f>
        <v>17200</v>
      </c>
    </row>
    <row r="29" spans="1:6">
      <c r="B29" s="6" t="s">
        <v>15</v>
      </c>
      <c r="C29" s="13" t="s">
        <v>24</v>
      </c>
      <c r="D29" s="34">
        <f>D7-D28</f>
        <v>4243.9400000000023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100108.32</v>
      </c>
    </row>
    <row r="6" spans="1:6">
      <c r="A6" s="5"/>
      <c r="B6" s="7" t="s">
        <v>4</v>
      </c>
      <c r="C6" s="13" t="s">
        <v>24</v>
      </c>
      <c r="D6" s="12">
        <f>396.5*12*16.39</f>
        <v>77983.62000000001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396.5*4.65*12</f>
        <v>22124.7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396.5*12*0.003</f>
        <v>14.274000000000001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396.5*12*2.54</f>
        <v>12085.32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396.5*12*2.11</f>
        <v>10039.379999999999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396.5*12*2.6</f>
        <v>12370.800000000001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396.5*12*1.92</f>
        <v>9135.3599999999988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396.5*12*2.34</f>
        <v>11133.72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396.5*12*1.36</f>
        <v>6470.88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396.5*12*3.03</f>
        <v>14416.74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396.5*12*0.07</f>
        <v>333.06000000000006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396.5*12*0.42</f>
        <v>1998.36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97997.894000000029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-20014.274000000019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/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2000</v>
      </c>
    </row>
    <row r="28" spans="1:6">
      <c r="B28" s="23" t="s">
        <v>35</v>
      </c>
      <c r="C28" s="13" t="s">
        <v>24</v>
      </c>
      <c r="D28" s="22">
        <f>D27+D26+D25</f>
        <v>17200</v>
      </c>
    </row>
    <row r="29" spans="1:6">
      <c r="B29" s="6" t="s">
        <v>15</v>
      </c>
      <c r="C29" s="13" t="s">
        <v>24</v>
      </c>
      <c r="D29" s="34">
        <f>D7-D28</f>
        <v>4924.7000000000007</v>
      </c>
    </row>
  </sheetData>
  <mergeCells count="3">
    <mergeCell ref="A2:D2"/>
    <mergeCell ref="B9:D9"/>
    <mergeCell ref="B23:D2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96826.08</v>
      </c>
    </row>
    <row r="6" spans="1:6">
      <c r="A6" s="5"/>
      <c r="B6" s="7" t="s">
        <v>4</v>
      </c>
      <c r="C6" s="13" t="s">
        <v>24</v>
      </c>
      <c r="D6" s="12">
        <f>383.5*12*16.39</f>
        <v>75426.78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383.5*4.65*12</f>
        <v>21399.300000000003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383.5*12*0.003</f>
        <v>13.806000000000001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383.5*12*2.54</f>
        <v>11689.08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383.5*12*2.11</f>
        <v>9710.2199999999993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383.5*12*2.6</f>
        <v>11965.2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383.5*12*1.92</f>
        <v>8835.84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383.5*12*2.34</f>
        <v>10768.679999999998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383.5*12*1.36</f>
        <v>6258.72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383.5*12*3.03</f>
        <v>13944.06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383.5*12*0.07</f>
        <v>322.14000000000004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383.5*12*0.42</f>
        <v>1932.84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95440.585999999996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-20013.805999999997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42</v>
      </c>
      <c r="C25" s="13" t="s">
        <v>24</v>
      </c>
      <c r="D25" s="12">
        <v>14000</v>
      </c>
    </row>
    <row r="26" spans="1:6">
      <c r="A26" s="5"/>
      <c r="B26" s="37" t="s">
        <v>34</v>
      </c>
      <c r="C26" s="13" t="s">
        <v>24</v>
      </c>
      <c r="D26" s="12">
        <v>2000</v>
      </c>
    </row>
    <row r="27" spans="1:6">
      <c r="A27" s="5"/>
      <c r="B27" s="23" t="s">
        <v>35</v>
      </c>
      <c r="C27" s="13" t="s">
        <v>24</v>
      </c>
      <c r="D27" s="22">
        <f>D26+D25</f>
        <v>16000</v>
      </c>
    </row>
    <row r="28" spans="1:6">
      <c r="A28" s="5"/>
      <c r="B28" s="6" t="s">
        <v>15</v>
      </c>
      <c r="C28" s="13" t="s">
        <v>24</v>
      </c>
      <c r="D28" s="34">
        <f>D7-D27</f>
        <v>5399.3000000000029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tabSelected="1" workbookViewId="0">
      <selection activeCell="J19" sqref="J1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85497.216000000015</v>
      </c>
    </row>
    <row r="6" spans="1:6">
      <c r="A6" s="5"/>
      <c r="B6" s="7" t="s">
        <v>4</v>
      </c>
      <c r="C6" s="13" t="s">
        <v>24</v>
      </c>
      <c r="D6" s="12">
        <f>380.8*12*14.66</f>
        <v>66990.33600000001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380.8*4.05*12</f>
        <v>18506.88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380.8*12*0.003</f>
        <v>13.708800000000002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380.8*12*2.54</f>
        <v>11606.784000000001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380.8*12*2.11</f>
        <v>9641.8559999999998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380.8*12*2.6</f>
        <v>11880.960000000001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380.8*12*1.92</f>
        <v>8773.6319999999996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380.8*12*2.34</f>
        <v>10692.864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380.8*12*1.36</f>
        <v>6214.6560000000009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380.8*12*3.03</f>
        <v>13845.888000000001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380.8*12*0.07</f>
        <v>319.87200000000007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380.8*12*0.42</f>
        <v>1919.232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94909.452799999985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-27919.116799999974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42</v>
      </c>
      <c r="C25" s="13" t="s">
        <v>24</v>
      </c>
      <c r="D25" s="12">
        <v>14000</v>
      </c>
    </row>
    <row r="26" spans="1:6">
      <c r="A26" s="5"/>
      <c r="B26" s="37" t="s">
        <v>34</v>
      </c>
      <c r="C26" s="13" t="s">
        <v>24</v>
      </c>
      <c r="D26" s="12">
        <v>2000</v>
      </c>
    </row>
    <row r="27" spans="1:6">
      <c r="A27" s="5"/>
      <c r="B27" s="23" t="s">
        <v>35</v>
      </c>
      <c r="C27" s="13" t="s">
        <v>24</v>
      </c>
      <c r="D27" s="22">
        <f>D26+D25</f>
        <v>16000</v>
      </c>
    </row>
    <row r="28" spans="1:6">
      <c r="B28" s="6" t="s">
        <v>15</v>
      </c>
      <c r="C28" s="13" t="s">
        <v>24</v>
      </c>
      <c r="D28" s="34">
        <f>D7-D27</f>
        <v>2506.880000000001</v>
      </c>
    </row>
  </sheetData>
  <mergeCells count="3">
    <mergeCell ref="A2:D2"/>
    <mergeCell ref="B9:D9"/>
    <mergeCell ref="B23:D2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94755.744000000021</v>
      </c>
    </row>
    <row r="6" spans="1:6">
      <c r="A6" s="5"/>
      <c r="B6" s="7" t="s">
        <v>4</v>
      </c>
      <c r="C6" s="13" t="s">
        <v>24</v>
      </c>
      <c r="D6" s="12">
        <f>375.3*12*16.39</f>
        <v>73814.004000000015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375.3*4.65*12</f>
        <v>20941.740000000002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375.3*12*0.003</f>
        <v>13.510800000000001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375.3*12*2.54</f>
        <v>11439.144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375.3*12*2.11</f>
        <v>9502.5959999999995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375.3*12*2.6</f>
        <v>11709.36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375.3*12*1.92</f>
        <v>8646.9120000000003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375.3*12*2.34</f>
        <v>10538.424000000001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375.3*12*1.36</f>
        <v>6124.8960000000006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375.3*12*3.03</f>
        <v>13645.907999999999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375.3*12*0.07</f>
        <v>315.25200000000007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375.3*12*0.42</f>
        <v>1891.5120000000002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93827.514800000004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-20013.510799999989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2000</v>
      </c>
    </row>
    <row r="28" spans="1:6">
      <c r="A28" s="5"/>
      <c r="B28" s="23" t="s">
        <v>35</v>
      </c>
      <c r="C28" s="13" t="s">
        <v>24</v>
      </c>
      <c r="D28" s="22">
        <f>D27+D26+D25</f>
        <v>17200</v>
      </c>
    </row>
    <row r="29" spans="1:6">
      <c r="A29" s="5"/>
      <c r="B29" s="6" t="s">
        <v>15</v>
      </c>
      <c r="C29" s="13" t="s">
        <v>24</v>
      </c>
      <c r="D29" s="34">
        <f>D7-D28</f>
        <v>3741.7400000000016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95386.944000000018</v>
      </c>
    </row>
    <row r="6" spans="1:6">
      <c r="A6" s="5"/>
      <c r="B6" s="7" t="s">
        <v>4</v>
      </c>
      <c r="C6" s="13" t="s">
        <v>24</v>
      </c>
      <c r="D6" s="12">
        <f>377.8*12*16.39</f>
        <v>74305.704000000012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377.8*4.65*12</f>
        <v>21081.24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377.8*12*0.003</f>
        <v>13.600800000000001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377.8*12*2.54</f>
        <v>11515.344000000001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377.8*12*2.11</f>
        <v>9565.8960000000006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377.8*12*2.6</f>
        <v>11787.36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377.8*12*1.92</f>
        <v>8704.5120000000006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377.8*12*2.34</f>
        <v>10608.624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377.8*12*1.34</f>
        <v>6075.0240000000013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377.8*12*3.03</f>
        <v>13736.808000000001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377.8*12*0.07</f>
        <v>317.35200000000003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377.8*12*0.42</f>
        <v>1904.1120000000001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94228.632799999992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-19922.92879999998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2000</v>
      </c>
    </row>
    <row r="28" spans="1:6">
      <c r="A28" s="5"/>
      <c r="B28" s="23" t="s">
        <v>35</v>
      </c>
      <c r="C28" s="13" t="s">
        <v>24</v>
      </c>
      <c r="D28" s="22">
        <f>D27+D26+D25</f>
        <v>17200</v>
      </c>
    </row>
    <row r="29" spans="1:6">
      <c r="A29" s="5"/>
      <c r="B29" s="6" t="s">
        <v>15</v>
      </c>
      <c r="C29" s="13" t="s">
        <v>24</v>
      </c>
      <c r="D29" s="34">
        <f>D7-D28</f>
        <v>3881.2400000000016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F30"/>
  <sheetViews>
    <sheetView workbookViewId="0">
      <selection activeCell="B27" sqref="B27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29</v>
      </c>
      <c r="C5" s="13" t="s">
        <v>24</v>
      </c>
      <c r="D5" s="11">
        <f>D6+D7</f>
        <v>212865.88800000004</v>
      </c>
    </row>
    <row r="6" spans="1:6">
      <c r="A6" s="5"/>
      <c r="B6" s="7" t="s">
        <v>4</v>
      </c>
      <c r="C6" s="13" t="s">
        <v>24</v>
      </c>
      <c r="D6" s="12">
        <f>843.1*12*16.39</f>
        <v>165820.90800000002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843.1*4.65*12</f>
        <v>47044.98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843.1*12*0.003</f>
        <v>30.351600000000001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843.1*12*2.54</f>
        <v>25697.688000000002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843.1*12*2.11</f>
        <v>21347.292000000001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843.1*12*2.6</f>
        <v>26304.720000000001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843.1*12*1.92</f>
        <v>19425.024000000001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843.1*12*2.34</f>
        <v>23674.248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843.1*12*1.36</f>
        <v>13759.392000000002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843.1*12*3.03</f>
        <v>30655.116000000002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843.1*12*0.07</f>
        <v>708.20400000000006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843.1*12*0.42</f>
        <v>4249.2240000000002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185851.25960000002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-20030.351599999995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3"/>
      <c r="D24" s="11"/>
    </row>
    <row r="25" spans="1:6">
      <c r="A25" s="29"/>
      <c r="B25" s="36" t="s">
        <v>38</v>
      </c>
      <c r="C25" s="23" t="s">
        <v>24</v>
      </c>
      <c r="D25" s="35">
        <v>2500</v>
      </c>
    </row>
    <row r="26" spans="1:6">
      <c r="A26" s="5"/>
      <c r="B26" s="37" t="s">
        <v>18</v>
      </c>
      <c r="C26" s="13" t="s">
        <v>24</v>
      </c>
      <c r="D26" s="12">
        <v>1200</v>
      </c>
    </row>
    <row r="27" spans="1:6">
      <c r="A27" s="5"/>
      <c r="B27" s="37" t="s">
        <v>42</v>
      </c>
      <c r="C27" s="13" t="s">
        <v>24</v>
      </c>
      <c r="D27" s="12">
        <v>14000</v>
      </c>
    </row>
    <row r="28" spans="1:6">
      <c r="A28" s="5"/>
      <c r="B28" s="37" t="s">
        <v>34</v>
      </c>
      <c r="C28" s="13" t="s">
        <v>24</v>
      </c>
      <c r="D28" s="12">
        <v>4000</v>
      </c>
    </row>
    <row r="29" spans="1:6">
      <c r="A29" s="5"/>
      <c r="B29" s="23" t="s">
        <v>35</v>
      </c>
      <c r="C29" s="13" t="s">
        <v>24</v>
      </c>
      <c r="D29" s="22">
        <f>D28+D27+D26+D25</f>
        <v>21700</v>
      </c>
    </row>
    <row r="30" spans="1:6">
      <c r="A30" s="5"/>
      <c r="B30" s="6" t="s">
        <v>15</v>
      </c>
      <c r="C30" s="13" t="s">
        <v>24</v>
      </c>
      <c r="D30" s="34">
        <f>D7-D29</f>
        <v>25344.980000000003</v>
      </c>
    </row>
  </sheetData>
  <mergeCells count="3">
    <mergeCell ref="A2:D2"/>
    <mergeCell ref="B23:D23"/>
    <mergeCell ref="B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203246.4</v>
      </c>
    </row>
    <row r="6" spans="1:6">
      <c r="A6" s="5"/>
      <c r="B6" s="7" t="s">
        <v>4</v>
      </c>
      <c r="C6" s="13" t="s">
        <v>24</v>
      </c>
      <c r="D6" s="12">
        <f>805*12*16.39</f>
        <v>158327.4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805*4.65*12</f>
        <v>44919.000000000007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805*12*0.03</f>
        <v>289.8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805*12*2.54</f>
        <v>24536.400000000001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805*12*2.11</f>
        <v>20382.599999999999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805*12*2.6</f>
        <v>25116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805*12*1.92</f>
        <v>18547.2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805*12*2.34</f>
        <v>22604.399999999998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805*12*1.36</f>
        <v>13137.6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805*12*3.03</f>
        <v>29269.8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805*12*0.07</f>
        <v>676.2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805*12*0.42</f>
        <v>4057.2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178617.19999999998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-20289.799999999988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39"/>
      <c r="B28" s="23" t="s">
        <v>35</v>
      </c>
      <c r="C28" s="13" t="s">
        <v>24</v>
      </c>
      <c r="D28" s="22">
        <f>D27+D26+D25</f>
        <v>19200</v>
      </c>
    </row>
    <row r="29" spans="1:6">
      <c r="A29" s="39"/>
      <c r="B29" s="6" t="s">
        <v>15</v>
      </c>
      <c r="C29" s="13" t="s">
        <v>24</v>
      </c>
      <c r="D29" s="34">
        <f>D7-D28</f>
        <v>25719.000000000007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22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20</v>
      </c>
      <c r="C5" s="13" t="s">
        <v>24</v>
      </c>
      <c r="D5" s="11">
        <f>D6+D7</f>
        <v>218243.712</v>
      </c>
    </row>
    <row r="6" spans="1:6">
      <c r="A6" s="5"/>
      <c r="B6" s="7" t="s">
        <v>4</v>
      </c>
      <c r="C6" s="13" t="s">
        <v>24</v>
      </c>
      <c r="D6" s="12">
        <f>864.4*12*16.39</f>
        <v>170010.19199999998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864.4*4.65*12</f>
        <v>48233.520000000004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864.4*12*0.003</f>
        <v>31.118399999999998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864.4*12*2.54</f>
        <v>26346.912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864.4*12*2.11</f>
        <v>21886.607999999997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864.4*12*2.6</f>
        <v>26969.279999999999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864.4*12*1.92</f>
        <v>19915.775999999998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864.4*12*2.34</f>
        <v>24272.351999999995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864.4*12*1.36</f>
        <v>14107.008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864.4*12*3.03</f>
        <v>31429.583999999995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864.4*12*0.07</f>
        <v>726.096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864.4*12*0.42</f>
        <v>4356.5759999999991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190041.31040000002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-20031.118400000036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42</v>
      </c>
      <c r="C25" s="13" t="s">
        <v>24</v>
      </c>
      <c r="D25" s="12">
        <v>14000</v>
      </c>
    </row>
    <row r="26" spans="1:6">
      <c r="B26" s="37" t="s">
        <v>34</v>
      </c>
      <c r="C26" s="13" t="s">
        <v>24</v>
      </c>
      <c r="D26" s="12">
        <v>4000</v>
      </c>
    </row>
    <row r="27" spans="1:6">
      <c r="B27" s="23" t="s">
        <v>35</v>
      </c>
      <c r="C27" s="13" t="s">
        <v>24</v>
      </c>
      <c r="D27" s="22">
        <f>D26+D25</f>
        <v>18000</v>
      </c>
    </row>
    <row r="28" spans="1:6">
      <c r="B28" s="6" t="s">
        <v>15</v>
      </c>
      <c r="C28" s="13" t="s">
        <v>24</v>
      </c>
      <c r="D28" s="34">
        <f>D7-D27</f>
        <v>30233.520000000004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210416.83199999999</v>
      </c>
    </row>
    <row r="6" spans="1:6">
      <c r="A6" s="5"/>
      <c r="B6" s="7" t="s">
        <v>4</v>
      </c>
      <c r="C6" s="13" t="s">
        <v>24</v>
      </c>
      <c r="D6" s="12">
        <f>833.4*12*16.39</f>
        <v>163913.11199999999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833.4*4.65*12</f>
        <v>46503.72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833.4*12*0.003</f>
        <v>30.002399999999998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833.4*12*2.54</f>
        <v>25402.031999999999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833.4*12*2.11</f>
        <v>21101.687999999998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833.4*12*2.6</f>
        <v>26002.079999999998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833.4*12*1.92</f>
        <v>19201.535999999996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833.4*12*2.34</f>
        <v>23401.871999999996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833.4*12*1.36</f>
        <v>13601.088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833.4*12*3.03</f>
        <v>30302.423999999995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833.4*12*0.07</f>
        <v>700.05600000000004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833.4*12*0.42</f>
        <v>4200.3359999999993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183943.11439999999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-20030.002399999998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B28" s="23" t="s">
        <v>35</v>
      </c>
      <c r="C28" s="13" t="s">
        <v>24</v>
      </c>
      <c r="D28" s="22">
        <f>D27+D26+D25</f>
        <v>19200</v>
      </c>
    </row>
    <row r="29" spans="1:6">
      <c r="B29" s="6" t="s">
        <v>15</v>
      </c>
      <c r="C29" s="13" t="s">
        <v>24</v>
      </c>
      <c r="D29" s="34">
        <f>D7-D28</f>
        <v>27303.72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212689.152</v>
      </c>
    </row>
    <row r="6" spans="1:6">
      <c r="A6" s="5"/>
      <c r="B6" s="7" t="s">
        <v>4</v>
      </c>
      <c r="C6" s="13" t="s">
        <v>24</v>
      </c>
      <c r="D6" s="12">
        <f>842.4*12*16.39</f>
        <v>165683.23199999999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842.4*4.65*12</f>
        <v>47005.920000000006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842.4*12*0.003</f>
        <v>30.3264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842.4*12*2.54</f>
        <v>25676.351999999999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842.4*12*2.11</f>
        <v>21329.567999999996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842.4*12*2.6</f>
        <v>26282.879999999997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842.4*12*1.92</f>
        <v>19408.895999999997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842.4*12*2.34</f>
        <v>23654.591999999997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842.4*12*1.36</f>
        <v>13747.968000000001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842.4*12*3.03</f>
        <v>30629.663999999997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842.4*12*0.07</f>
        <v>707.61599999999999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842.4*12*0.42</f>
        <v>4245.6959999999999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185713.55839999995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-20030.326399999962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42</v>
      </c>
      <c r="C25" s="13" t="s">
        <v>24</v>
      </c>
      <c r="D25" s="12">
        <v>14000</v>
      </c>
    </row>
    <row r="26" spans="1:6">
      <c r="B26" s="37" t="s">
        <v>34</v>
      </c>
      <c r="C26" s="13" t="s">
        <v>24</v>
      </c>
      <c r="D26" s="12">
        <v>4000</v>
      </c>
    </row>
    <row r="27" spans="1:6">
      <c r="B27" s="23" t="s">
        <v>35</v>
      </c>
      <c r="C27" s="13" t="s">
        <v>24</v>
      </c>
      <c r="D27" s="22">
        <f>D26+D25</f>
        <v>18000</v>
      </c>
    </row>
    <row r="28" spans="1:6">
      <c r="B28" s="6" t="s">
        <v>15</v>
      </c>
      <c r="C28" s="13" t="s">
        <v>24</v>
      </c>
      <c r="D28" s="34">
        <f>D7-D27</f>
        <v>29005.920000000006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K20" sqref="K20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213901.05600000004</v>
      </c>
    </row>
    <row r="6" spans="1:6">
      <c r="A6" s="5"/>
      <c r="B6" s="7" t="s">
        <v>4</v>
      </c>
      <c r="C6" s="13" t="s">
        <v>24</v>
      </c>
      <c r="D6" s="12">
        <f>847.2*12*16.39</f>
        <v>166627.29600000003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847.2*4.65*12</f>
        <v>47273.760000000009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847.2*12*0.003</f>
        <v>30.499200000000005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847.2*12*2.54</f>
        <v>25822.656000000003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847.2*12*2.11</f>
        <v>21451.104000000003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847.2*12*2.6</f>
        <v>26432.640000000003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847.2*12*1.92</f>
        <v>19519.488000000001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847.2*12*2.34</f>
        <v>23789.376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847.2*12*1.36</f>
        <v>13826.304000000004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847.2*12*3.03</f>
        <v>30804.192000000003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847.2*12*0.07</f>
        <v>711.64800000000014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847.2*12*0.42</f>
        <v>4269.8880000000008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186657.79520000002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-20030.499199999991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/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B28" s="23" t="s">
        <v>35</v>
      </c>
      <c r="C28" s="13" t="s">
        <v>24</v>
      </c>
      <c r="D28" s="22">
        <f>D27+D26+D25</f>
        <v>19200</v>
      </c>
    </row>
    <row r="29" spans="1:6">
      <c r="B29" s="6" t="s">
        <v>15</v>
      </c>
      <c r="C29" s="13" t="s">
        <v>24</v>
      </c>
      <c r="D29" s="34">
        <f>D7-D28</f>
        <v>28073.760000000009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215163.45600000003</v>
      </c>
    </row>
    <row r="6" spans="1:6">
      <c r="A6" s="5"/>
      <c r="B6" s="7" t="s">
        <v>4</v>
      </c>
      <c r="C6" s="13" t="s">
        <v>24</v>
      </c>
      <c r="D6" s="12">
        <f>852.2*12*16.39</f>
        <v>167610.69600000003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852.2*4.65*12</f>
        <v>47552.760000000009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852.2*12*0.003</f>
        <v>30.679200000000005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852.2*12*2.54</f>
        <v>25975.056000000004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852.2*12*2.11</f>
        <v>21577.704000000002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852.2*12*2.6</f>
        <v>26588.640000000003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852.2*12*1.92</f>
        <v>19634.688000000002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852.2*12*2.34</f>
        <v>23929.776000000002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852.2*12*1.36</f>
        <v>13907.904000000002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852.2*12*3.03</f>
        <v>30985.992000000002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852.2*12*0.07</f>
        <v>715.84800000000018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852.2*12*0.42</f>
        <v>4295.0880000000006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187641.37520000001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-20030.679199999984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37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19200</v>
      </c>
    </row>
    <row r="29" spans="1:6">
      <c r="A29" s="5"/>
      <c r="B29" s="6" t="s">
        <v>15</v>
      </c>
      <c r="C29" s="13" t="s">
        <v>24</v>
      </c>
      <c r="D29" s="34">
        <f>D7-D28</f>
        <v>28352.760000000009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217713.50399999999</v>
      </c>
    </row>
    <row r="6" spans="1:6">
      <c r="A6" s="5"/>
      <c r="B6" s="7" t="s">
        <v>4</v>
      </c>
      <c r="C6" s="13" t="s">
        <v>24</v>
      </c>
      <c r="D6" s="12">
        <f>862.3*12*16.39</f>
        <v>169597.16399999999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862.3*4.65*12</f>
        <v>48116.340000000004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862.3*12*0.003</f>
        <v>31.042799999999996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862.3*12*2.54</f>
        <v>26282.903999999995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862.3*12*2.11</f>
        <v>21833.435999999994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862.3*12*2.6</f>
        <v>26903.759999999998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862.3*12*1.92</f>
        <v>19867.391999999996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862.3*12*2.34</f>
        <v>24213.383999999995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862.3*12*1.36</f>
        <v>14072.735999999999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862.3*12*3.03</f>
        <v>31353.227999999992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862.3*12*0.07</f>
        <v>724.33199999999999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862.3*12*0.42</f>
        <v>4345.9919999999993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189628.20679999993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-20031.042799999937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37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19200</v>
      </c>
    </row>
    <row r="29" spans="1:6">
      <c r="B29" s="6" t="s">
        <v>15</v>
      </c>
      <c r="C29" s="13" t="s">
        <v>24</v>
      </c>
      <c r="D29" s="34">
        <f>D7-D28</f>
        <v>28916.340000000004</v>
      </c>
    </row>
  </sheetData>
  <mergeCells count="3">
    <mergeCell ref="A2:D2"/>
    <mergeCell ref="B9:D9"/>
    <mergeCell ref="B23:D2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215870.4</v>
      </c>
    </row>
    <row r="6" spans="1:6">
      <c r="A6" s="5"/>
      <c r="B6" s="7" t="s">
        <v>4</v>
      </c>
      <c r="C6" s="13" t="s">
        <v>24</v>
      </c>
      <c r="D6" s="12">
        <f>855*12*16.39</f>
        <v>168161.4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855*4.65*12</f>
        <v>47709.000000000007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855*12*0.003</f>
        <v>30.78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855*12*2.54</f>
        <v>26060.400000000001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855*12*2.11</f>
        <v>21648.6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855*12*2.6</f>
        <v>26676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855*12*1.92</f>
        <v>19699.2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855*12*2.34</f>
        <v>24008.399999999998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855*12*1.36</f>
        <v>13953.6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855*12*3.03</f>
        <v>31087.8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855*12*0.07</f>
        <v>718.2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855*12*0.42</f>
        <v>4309.2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188192.18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-20030.78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6" t="s">
        <v>38</v>
      </c>
      <c r="C25" s="23" t="s">
        <v>24</v>
      </c>
      <c r="D25" s="35">
        <v>11600</v>
      </c>
    </row>
    <row r="26" spans="1:6">
      <c r="A26" s="5"/>
      <c r="B26" s="37" t="s">
        <v>37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29600</v>
      </c>
    </row>
    <row r="29" spans="1:6">
      <c r="A29" s="5"/>
      <c r="B29" s="6" t="s">
        <v>15</v>
      </c>
      <c r="C29" s="13" t="s">
        <v>24</v>
      </c>
      <c r="D29" s="34">
        <f>D7-D28</f>
        <v>18109.000000000007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220263.552</v>
      </c>
    </row>
    <row r="6" spans="1:6">
      <c r="A6" s="5"/>
      <c r="B6" s="7" t="s">
        <v>4</v>
      </c>
      <c r="C6" s="13" t="s">
        <v>24</v>
      </c>
      <c r="D6" s="12">
        <f>872.4*12*16.39</f>
        <v>171583.63199999998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872.4*4.65*12</f>
        <v>48679.920000000006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872.4*12*0.003</f>
        <v>31.406399999999998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872.4*12*2.54</f>
        <v>26590.751999999997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872.4*12*2.11</f>
        <v>22089.167999999998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872.4*12*2.6</f>
        <v>27218.879999999997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872.4*12*1.92</f>
        <v>20100.095999999998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872.4*12*2.34</f>
        <v>24496.991999999998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872.4*12*1.36</f>
        <v>14237.567999999999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872.4*12*3.03</f>
        <v>31720.463999999996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872.4*12*0.07</f>
        <v>732.81600000000003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872.4*12*0.42</f>
        <v>4396.8959999999997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191615.03840000002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-20031.406400000036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37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B28" s="23" t="s">
        <v>35</v>
      </c>
      <c r="C28" s="13" t="s">
        <v>24</v>
      </c>
      <c r="D28" s="22">
        <f>D27+D26+D25</f>
        <v>19200</v>
      </c>
    </row>
    <row r="29" spans="1:6">
      <c r="B29" s="6" t="s">
        <v>15</v>
      </c>
      <c r="C29" s="13" t="s">
        <v>24</v>
      </c>
      <c r="D29" s="34">
        <f>D7-D28</f>
        <v>29479.920000000006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217612.51199999999</v>
      </c>
    </row>
    <row r="6" spans="1:6">
      <c r="A6" s="5"/>
      <c r="B6" s="7" t="s">
        <v>4</v>
      </c>
      <c r="C6" s="13" t="s">
        <v>24</v>
      </c>
      <c r="D6" s="12">
        <f>861.9*12*16.39</f>
        <v>169518.492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861.9*4.65*12</f>
        <v>48094.020000000004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861.9*12*0.003</f>
        <v>31.028399999999998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861.9*12*2.54</f>
        <v>26270.712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861.9*12*2.11</f>
        <v>21823.307999999997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861.9*12*2.6</f>
        <v>26891.279999999999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861.9*12*1.92</f>
        <v>19858.175999999999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861.9*12*2.34</f>
        <v>24202.151999999998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861.9*12*1.36</f>
        <v>14066.208000000001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861.9*12*3.03</f>
        <v>31338.683999999997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861.9*12*0.07</f>
        <v>723.99599999999998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861.9*12*0.42</f>
        <v>4343.9759999999997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189549.52039999998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-20031.028399999981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800</v>
      </c>
    </row>
    <row r="26" spans="1:6">
      <c r="A26" s="5"/>
      <c r="B26" s="37" t="s">
        <v>37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18800</v>
      </c>
    </row>
    <row r="29" spans="1:6">
      <c r="A29" s="5"/>
      <c r="B29" s="6" t="s">
        <v>15</v>
      </c>
      <c r="C29" s="13" t="s">
        <v>24</v>
      </c>
      <c r="D29" s="34">
        <f>D7-D28</f>
        <v>29294.020000000004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216728.83199999999</v>
      </c>
    </row>
    <row r="6" spans="1:6">
      <c r="A6" s="5"/>
      <c r="B6" s="7" t="s">
        <v>4</v>
      </c>
      <c r="C6" s="13" t="s">
        <v>24</v>
      </c>
      <c r="D6" s="12">
        <f>858.4*12*16.39</f>
        <v>168830.11199999999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858.4*4.65*12</f>
        <v>47898.720000000001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858.4*12*0.003</f>
        <v>30.9024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858.4*12*2.54</f>
        <v>26164.031999999999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858.4*12*2.11</f>
        <v>21734.687999999998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858.4*12*2.6</f>
        <v>26782.079999999998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858.4*12*1.92</f>
        <v>19777.535999999996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858.4*12*2.34</f>
        <v>24103.871999999996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858.4*12*1.36</f>
        <v>14009.088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858.4*12*3.03</f>
        <v>31211.423999999995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858.4*12*0.07</f>
        <v>721.05600000000004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858.4*12*0.42</f>
        <v>4326.3359999999993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188861.01439999999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-20030.902399999992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37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19200</v>
      </c>
    </row>
    <row r="29" spans="1:6">
      <c r="A29" s="5"/>
      <c r="B29" s="6" t="s">
        <v>15</v>
      </c>
      <c r="C29" s="13" t="s">
        <v>24</v>
      </c>
      <c r="D29" s="34">
        <f>D7-D28</f>
        <v>28698.720000000001</v>
      </c>
    </row>
  </sheetData>
  <mergeCells count="3">
    <mergeCell ref="A2:D2"/>
    <mergeCell ref="B23:D23"/>
    <mergeCell ref="B9:D9"/>
  </mergeCells>
  <dataValidations count="1">
    <dataValidation type="list" allowBlank="1" showInputMessage="1" showErrorMessage="1" sqref="B3:D3">
      <formula1>Адреса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279949.82399999996</v>
      </c>
    </row>
    <row r="6" spans="1:6">
      <c r="A6" s="5"/>
      <c r="B6" s="7" t="s">
        <v>4</v>
      </c>
      <c r="C6" s="13" t="s">
        <v>24</v>
      </c>
      <c r="D6" s="12">
        <f>1108.8*12*16.39</f>
        <v>218078.78399999999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1108.8*4.65*12</f>
        <v>61871.040000000001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1108.8*12*0.003</f>
        <v>39.916799999999995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1108.8*12*2.54</f>
        <v>33796.223999999995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1108.8*12*2.11</f>
        <v>28074.815999999995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1108.8*12*2.6</f>
        <v>34594.559999999998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1108.8*12*1.92</f>
        <v>25546.751999999997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1108.8*12*2.34</f>
        <v>31135.103999999996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1108.8*12*1.36</f>
        <v>18095.615999999998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1108.8*12*3.03</f>
        <v>40315.967999999993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1108.8*12*0.07</f>
        <v>931.39199999999994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1108.8*12*0.42</f>
        <v>5588.351999999999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238118.70079999996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-20039.916799999977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/>
      <c r="D24" s="11"/>
    </row>
    <row r="25" spans="1:6">
      <c r="A25" s="5"/>
      <c r="B25" s="37" t="s">
        <v>42</v>
      </c>
      <c r="C25" s="13" t="s">
        <v>24</v>
      </c>
      <c r="D25" s="12">
        <v>14000</v>
      </c>
    </row>
    <row r="26" spans="1:6">
      <c r="A26" s="5"/>
      <c r="B26" s="37" t="s">
        <v>36</v>
      </c>
      <c r="C26" s="13" t="s">
        <v>24</v>
      </c>
      <c r="D26" s="12">
        <v>4000</v>
      </c>
    </row>
    <row r="27" spans="1:6">
      <c r="A27" s="29"/>
      <c r="B27" s="33" t="s">
        <v>35</v>
      </c>
      <c r="C27" s="23" t="s">
        <v>24</v>
      </c>
      <c r="D27" s="22">
        <f>D26+D25</f>
        <v>18000</v>
      </c>
    </row>
    <row r="28" spans="1:6">
      <c r="A28" s="5"/>
      <c r="B28" s="6" t="s">
        <v>15</v>
      </c>
      <c r="C28" s="13" t="s">
        <v>24</v>
      </c>
      <c r="D28" s="11">
        <f>D7-D27</f>
        <v>43871.040000000001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214507.00800000003</v>
      </c>
    </row>
    <row r="6" spans="1:6">
      <c r="A6" s="5"/>
      <c r="B6" s="7" t="s">
        <v>4</v>
      </c>
      <c r="C6" s="13" t="s">
        <v>24</v>
      </c>
      <c r="D6" s="12">
        <f>849.6*12*16.39</f>
        <v>167099.32800000001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849.6*4.65*12</f>
        <v>47407.680000000008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849.6*12*0.003</f>
        <v>30.585600000000003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849.6*12*2.54</f>
        <v>25895.808000000001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849.6*12*2.11</f>
        <v>21511.871999999999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849.6*12*2.6</f>
        <v>26507.520000000004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849.6*12*1.92</f>
        <v>19574.784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849.6*12*2.34</f>
        <v>23856.768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849.6*12*1.36</f>
        <v>13865.472000000002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849.6*12*3.03</f>
        <v>30891.456000000002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849.6*12*0.07</f>
        <v>713.6640000000001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849.6*12*0.42</f>
        <v>4281.9840000000004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187129.91359999997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-20030.585599999962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37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B28" s="23" t="s">
        <v>35</v>
      </c>
      <c r="C28" s="13" t="s">
        <v>24</v>
      </c>
      <c r="D28" s="22">
        <f>D27+D26+D25</f>
        <v>19200</v>
      </c>
    </row>
    <row r="29" spans="1:6">
      <c r="B29" s="6" t="s">
        <v>15</v>
      </c>
      <c r="C29" s="13" t="s">
        <v>24</v>
      </c>
      <c r="D29" s="34">
        <f>D7-D28</f>
        <v>28207.680000000008</v>
      </c>
    </row>
  </sheetData>
  <mergeCells count="3">
    <mergeCell ref="A2:D2"/>
    <mergeCell ref="B9:D9"/>
    <mergeCell ref="B23:D2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I18" sqref="I1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215188.70399999997</v>
      </c>
    </row>
    <row r="6" spans="1:6">
      <c r="A6" s="5"/>
      <c r="B6" s="7" t="s">
        <v>4</v>
      </c>
      <c r="C6" s="13" t="s">
        <v>24</v>
      </c>
      <c r="D6" s="12">
        <f>852.3*12*16.39</f>
        <v>167630.36399999997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852.3*4.65*12</f>
        <v>47558.340000000004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852.3*12*0.003</f>
        <v>30.682799999999997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852.3*12*2.54</f>
        <v>25978.103999999996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852.3*12*2.11</f>
        <v>21580.235999999997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852.3*12*2.6</f>
        <v>26591.759999999998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852.3*12*1.92</f>
        <v>19636.991999999995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852.3*12*2.34</f>
        <v>23932.583999999995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852.3*12*1.36</f>
        <v>13909.535999999998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852.3*12*3.03</f>
        <v>30989.627999999993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852.3*12*0.07</f>
        <v>715.93200000000002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852.3*12*0.42</f>
        <v>4295.5919999999996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187661.04679999998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-20030.68280000001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37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19200</v>
      </c>
    </row>
    <row r="29" spans="1:6">
      <c r="B29" s="6" t="s">
        <v>15</v>
      </c>
      <c r="C29" s="13" t="s">
        <v>24</v>
      </c>
      <c r="D29" s="34">
        <f>D7-D28</f>
        <v>28358.340000000004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workbookViewId="0">
      <selection activeCell="D28" sqref="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267553.5</v>
      </c>
    </row>
    <row r="6" spans="1:6">
      <c r="A6" s="5"/>
      <c r="B6" s="7" t="s">
        <v>4</v>
      </c>
      <c r="C6" s="13" t="s">
        <v>24</v>
      </c>
      <c r="D6" s="12">
        <f>833.5*12*20.67</f>
        <v>206741.34000000003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833.5*6.08*12</f>
        <v>60812.160000000003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833.5*12*2.38</f>
        <v>23804.76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833.5*12*4.82</f>
        <v>48209.64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833.5*12*2.29</f>
        <v>22904.58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833.5*12*3.4</f>
        <v>34006.799999999996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833.5*12*2.61</f>
        <v>26105.219999999998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833.5*12*4.64</f>
        <v>46409.279999999999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833.5*12*0.1</f>
        <v>1000.2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833.5*12*0.43</f>
        <v>4300.8599999999997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226741.34000000003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18</v>
      </c>
      <c r="C23" s="13" t="s">
        <v>24</v>
      </c>
      <c r="D23" s="12">
        <v>1200</v>
      </c>
    </row>
    <row r="24" spans="1:6">
      <c r="A24" s="5"/>
      <c r="B24" s="37" t="s">
        <v>37</v>
      </c>
      <c r="C24" s="13" t="s">
        <v>24</v>
      </c>
      <c r="D24" s="12">
        <v>14000</v>
      </c>
    </row>
    <row r="25" spans="1:6">
      <c r="A25" s="5"/>
      <c r="B25" s="37" t="s">
        <v>34</v>
      </c>
      <c r="C25" s="13" t="s">
        <v>24</v>
      </c>
      <c r="D25" s="12">
        <v>4000</v>
      </c>
    </row>
    <row r="26" spans="1:6">
      <c r="B26" s="23" t="s">
        <v>35</v>
      </c>
      <c r="C26" s="13" t="s">
        <v>24</v>
      </c>
      <c r="D26" s="22">
        <f>D25+D24+D23</f>
        <v>19200</v>
      </c>
    </row>
    <row r="27" spans="1:6">
      <c r="B27" s="6" t="s">
        <v>15</v>
      </c>
      <c r="C27" s="13" t="s">
        <v>24</v>
      </c>
      <c r="D27" s="34">
        <f>D7-D26</f>
        <v>41612.160000000003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268291.8</v>
      </c>
    </row>
    <row r="6" spans="1:6">
      <c r="A6" s="5"/>
      <c r="B6" s="7" t="s">
        <v>4</v>
      </c>
      <c r="C6" s="13" t="s">
        <v>24</v>
      </c>
      <c r="D6" s="12">
        <f>835.8*12*20.67</f>
        <v>207311.83199999999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835.8*6.08*12</f>
        <v>60979.967999999993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835.8*12*2.38</f>
        <v>23870.447999999997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835.8*12*4.82</f>
        <v>48342.671999999999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835.8*12*2.29</f>
        <v>22967.783999999996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835.8*12*3.4</f>
        <v>34100.639999999992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835.8*12*2.61</f>
        <v>26177.255999999994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835.8*12*4.64</f>
        <v>46537.34399999999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835.8*12*0.1</f>
        <v>1002.9599999999999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835.8*12*0.43</f>
        <v>4312.7279999999992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227311.83199999997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6" t="s">
        <v>39</v>
      </c>
      <c r="C23" s="23" t="s">
        <v>24</v>
      </c>
      <c r="D23" s="35">
        <v>15000</v>
      </c>
    </row>
    <row r="24" spans="1:6">
      <c r="A24" s="5"/>
      <c r="B24" s="37" t="s">
        <v>18</v>
      </c>
      <c r="C24" s="13" t="s">
        <v>24</v>
      </c>
      <c r="D24" s="12">
        <v>800</v>
      </c>
    </row>
    <row r="25" spans="1:6">
      <c r="B25" s="37" t="s">
        <v>37</v>
      </c>
      <c r="C25" s="13" t="s">
        <v>24</v>
      </c>
      <c r="D25" s="12">
        <v>14000</v>
      </c>
    </row>
    <row r="26" spans="1:6">
      <c r="B26" s="23" t="s">
        <v>35</v>
      </c>
      <c r="C26" s="13" t="s">
        <v>24</v>
      </c>
      <c r="D26" s="22">
        <f>D25+D24+D23</f>
        <v>29800</v>
      </c>
    </row>
    <row r="27" spans="1:6">
      <c r="B27" s="6" t="s">
        <v>15</v>
      </c>
      <c r="C27" s="13" t="s">
        <v>24</v>
      </c>
      <c r="D27" s="34">
        <f>D7-D26</f>
        <v>31179.967999999993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274069.8</v>
      </c>
    </row>
    <row r="6" spans="1:6">
      <c r="A6" s="5"/>
      <c r="B6" s="7" t="s">
        <v>4</v>
      </c>
      <c r="C6" s="13" t="s">
        <v>24</v>
      </c>
      <c r="D6" s="12">
        <f>853.8*12*20.67</f>
        <v>211776.552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853.8*6.08*12</f>
        <v>62293.247999999992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853.8*12*2.38</f>
        <v>24384.527999999995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853.8*12*4.82</f>
        <v>49383.791999999994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853.8*12*2.29</f>
        <v>23462.423999999995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853.8*12*3.4</f>
        <v>34835.039999999994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853.8*12*2.61</f>
        <v>26741.015999999996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853.8*12*4.64</f>
        <v>47539.583999999988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853.8*12*0.1</f>
        <v>1024.56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853.8*12*0.43</f>
        <v>4405.6079999999993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231776.55199999994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-19999.999999999942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6" t="s">
        <v>39</v>
      </c>
      <c r="C23" s="23" t="s">
        <v>24</v>
      </c>
      <c r="D23" s="35">
        <v>15000</v>
      </c>
    </row>
    <row r="24" spans="1:6">
      <c r="A24" s="5"/>
      <c r="B24" s="37" t="s">
        <v>37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33293.247999999992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268901.70000000007</v>
      </c>
    </row>
    <row r="6" spans="1:6">
      <c r="A6" s="5"/>
      <c r="B6" s="7" t="s">
        <v>4</v>
      </c>
      <c r="C6" s="13" t="s">
        <v>24</v>
      </c>
      <c r="D6" s="12">
        <f>837.7*12*20.67</f>
        <v>207783.10800000004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837.7*6.08*12</f>
        <v>61118.592000000004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837.7*12*2.38</f>
        <v>23924.712000000003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837.7*12*4.82</f>
        <v>48452.568000000007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837.7*12*2.29</f>
        <v>23019.996000000003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837.7*12*3.4</f>
        <v>34178.160000000003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837.7*12*2.61</f>
        <v>26236.764000000003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837.7*12*4.64</f>
        <v>46643.136000000006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837.7*12*0.1</f>
        <v>1005.2400000000002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837.7*12*0.43</f>
        <v>4322.5320000000002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227783.10800000004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6" t="s">
        <v>39</v>
      </c>
      <c r="C23" s="23" t="s">
        <v>24</v>
      </c>
      <c r="D23" s="35">
        <v>15000</v>
      </c>
    </row>
    <row r="24" spans="1:6">
      <c r="A24" s="5"/>
      <c r="B24" s="37" t="s">
        <v>18</v>
      </c>
      <c r="C24" s="13" t="s">
        <v>24</v>
      </c>
      <c r="D24" s="12">
        <v>1200</v>
      </c>
    </row>
    <row r="25" spans="1:6">
      <c r="A25" s="5"/>
      <c r="B25" s="37" t="s">
        <v>37</v>
      </c>
      <c r="C25" s="13" t="s">
        <v>24</v>
      </c>
      <c r="D25" s="12">
        <v>14000</v>
      </c>
    </row>
    <row r="26" spans="1:6">
      <c r="B26" s="23" t="s">
        <v>35</v>
      </c>
      <c r="C26" s="13" t="s">
        <v>24</v>
      </c>
      <c r="D26" s="22">
        <f>D25+D24+D23</f>
        <v>30200</v>
      </c>
    </row>
    <row r="27" spans="1:6">
      <c r="B27" s="6" t="s">
        <v>15</v>
      </c>
      <c r="C27" s="13" t="s">
        <v>24</v>
      </c>
      <c r="D27" s="34">
        <f>D7-D26</f>
        <v>30918.592000000004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264632.40000000002</v>
      </c>
    </row>
    <row r="6" spans="1:6">
      <c r="A6" s="5"/>
      <c r="B6" s="7" t="s">
        <v>4</v>
      </c>
      <c r="C6" s="13" t="s">
        <v>24</v>
      </c>
      <c r="D6" s="12">
        <f>824.4*12*20.67</f>
        <v>204484.17600000001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824.4*6.08*12</f>
        <v>60148.224000000002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824.4*12*2.38</f>
        <v>23544.863999999998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824.4*12*4.82</f>
        <v>47683.296000000002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824.4*12*2.29</f>
        <v>22654.511999999999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824.4*12*3.4</f>
        <v>33635.519999999997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824.4*12*2.61</f>
        <v>25820.207999999995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824.4*12*4.64</f>
        <v>45902.591999999997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824.4*12*0.1</f>
        <v>989.28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824.4*12*0.43</f>
        <v>4253.9039999999995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224484.17599999998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6" t="s">
        <v>39</v>
      </c>
      <c r="C23" s="23" t="s">
        <v>24</v>
      </c>
      <c r="D23" s="35">
        <v>15000</v>
      </c>
    </row>
    <row r="24" spans="1:6">
      <c r="A24" s="5"/>
      <c r="B24" s="37" t="s">
        <v>18</v>
      </c>
      <c r="C24" s="13" t="s">
        <v>24</v>
      </c>
      <c r="D24" s="12">
        <v>1200</v>
      </c>
    </row>
    <row r="25" spans="1:6">
      <c r="B25" s="37" t="s">
        <v>37</v>
      </c>
      <c r="C25" s="13" t="s">
        <v>24</v>
      </c>
      <c r="D25" s="12">
        <v>14000</v>
      </c>
    </row>
    <row r="26" spans="1:6">
      <c r="B26" s="23" t="s">
        <v>35</v>
      </c>
      <c r="C26" s="13" t="s">
        <v>24</v>
      </c>
      <c r="D26" s="22">
        <f>D25+D24+D23</f>
        <v>30200</v>
      </c>
    </row>
    <row r="27" spans="1:6">
      <c r="B27" s="6" t="s">
        <v>15</v>
      </c>
      <c r="C27" s="13" t="s">
        <v>24</v>
      </c>
      <c r="D27" s="34">
        <f>D7-D26</f>
        <v>29948.224000000002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268291.8</v>
      </c>
    </row>
    <row r="6" spans="1:6">
      <c r="A6" s="5"/>
      <c r="B6" s="7" t="s">
        <v>4</v>
      </c>
      <c r="C6" s="13" t="s">
        <v>24</v>
      </c>
      <c r="D6" s="12">
        <f>835.8*12*20.67</f>
        <v>207311.83199999999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835.8*6.08*12</f>
        <v>60979.967999999993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835.8*12*2.38</f>
        <v>23870.447999999997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835.8*12*4.82</f>
        <v>48342.671999999999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835.8*12*2.29</f>
        <v>22967.783999999996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835.8*12*3.4</f>
        <v>34100.639999999992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835.8*12*2.61</f>
        <v>26177.255999999994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835.8*12*4.64</f>
        <v>46537.34399999999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835.8*12*0.1</f>
        <v>1002.9599999999999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835.8*12*0.43</f>
        <v>4312.7279999999992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227311.83199999997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6" t="s">
        <v>39</v>
      </c>
      <c r="C23" s="23" t="s">
        <v>24</v>
      </c>
      <c r="D23" s="35">
        <v>15000</v>
      </c>
    </row>
    <row r="24" spans="1:6">
      <c r="B24" s="37" t="s">
        <v>37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31979.967999999993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274069.8</v>
      </c>
    </row>
    <row r="6" spans="1:6">
      <c r="A6" s="5"/>
      <c r="B6" s="7" t="s">
        <v>4</v>
      </c>
      <c r="C6" s="13" t="s">
        <v>24</v>
      </c>
      <c r="D6" s="12">
        <f>853.8*12*20.67</f>
        <v>211776.552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853.8*6.08*12</f>
        <v>62293.247999999992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853.8*12*2.38</f>
        <v>24384.527999999995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853.8*12*4.82</f>
        <v>49383.791999999994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853.8*12*2.29</f>
        <v>23462.423999999995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853.8*12*3.4</f>
        <v>34835.039999999994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853.8*12*2.61</f>
        <v>26741.015999999996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853.8*12*4.64</f>
        <v>47539.583999999988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853.8*12*0.1</f>
        <v>1024.56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853.8*12*0.43</f>
        <v>4405.6079999999993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231776.55199999994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-19999.999999999942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6" t="s">
        <v>39</v>
      </c>
      <c r="C23" s="23" t="s">
        <v>24</v>
      </c>
      <c r="D23" s="35">
        <v>15000</v>
      </c>
    </row>
    <row r="24" spans="1:6">
      <c r="A24" s="5"/>
      <c r="B24" s="37" t="s">
        <v>18</v>
      </c>
      <c r="C24" s="13" t="s">
        <v>24</v>
      </c>
      <c r="D24" s="12">
        <v>1200</v>
      </c>
    </row>
    <row r="25" spans="1:6">
      <c r="A25" s="5"/>
      <c r="B25" s="37" t="s">
        <v>37</v>
      </c>
      <c r="C25" s="13" t="s">
        <v>24</v>
      </c>
      <c r="D25" s="12">
        <v>14000</v>
      </c>
    </row>
    <row r="26" spans="1:6">
      <c r="B26" s="23" t="s">
        <v>35</v>
      </c>
      <c r="C26" s="13" t="s">
        <v>24</v>
      </c>
      <c r="D26" s="22">
        <f>D25+D24+D23</f>
        <v>30200</v>
      </c>
    </row>
    <row r="27" spans="1:6">
      <c r="B27" s="6" t="s">
        <v>15</v>
      </c>
      <c r="C27" s="13" t="s">
        <v>24</v>
      </c>
      <c r="D27" s="34">
        <f>D7-D26</f>
        <v>32093.247999999992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268901.70000000007</v>
      </c>
    </row>
    <row r="6" spans="1:6">
      <c r="A6" s="5"/>
      <c r="B6" s="7" t="s">
        <v>4</v>
      </c>
      <c r="C6" s="13" t="s">
        <v>24</v>
      </c>
      <c r="D6" s="12">
        <f>837.7*12*20.67</f>
        <v>207783.10800000004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837.7*6.08*12</f>
        <v>61118.592000000004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837.7*12*2.38</f>
        <v>23924.712000000003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837.7*12*4.82</f>
        <v>48452.568000000007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837.7*12*2.29</f>
        <v>23019.996000000003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837.7*12*3.4</f>
        <v>34178.160000000003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837.7*12*2.61</f>
        <v>26236.764000000003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837.7*12*4.64</f>
        <v>46643.136000000006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837.7*12*0.1</f>
        <v>1005.2400000000002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837.7*12*0.43</f>
        <v>4322.5320000000002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227783.10800000004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6" t="s">
        <v>39</v>
      </c>
      <c r="C23" s="23" t="s">
        <v>24</v>
      </c>
      <c r="D23" s="35">
        <v>15000</v>
      </c>
    </row>
    <row r="24" spans="1:6">
      <c r="A24" s="5"/>
      <c r="B24" s="37" t="s">
        <v>18</v>
      </c>
      <c r="C24" s="13" t="s">
        <v>24</v>
      </c>
      <c r="D24" s="12">
        <v>1200</v>
      </c>
    </row>
    <row r="25" spans="1:6">
      <c r="B25" s="37" t="s">
        <v>37</v>
      </c>
      <c r="C25" s="13" t="s">
        <v>24</v>
      </c>
      <c r="D25" s="12">
        <v>14000</v>
      </c>
    </row>
    <row r="26" spans="1:6">
      <c r="B26" s="23" t="s">
        <v>35</v>
      </c>
      <c r="C26" s="13" t="s">
        <v>24</v>
      </c>
      <c r="D26" s="22">
        <f>D25+D24+D23</f>
        <v>30200</v>
      </c>
    </row>
    <row r="27" spans="1:6">
      <c r="B27" s="6" t="s">
        <v>15</v>
      </c>
      <c r="C27" s="13" t="s">
        <v>24</v>
      </c>
      <c r="D27" s="34">
        <f>D7-D26</f>
        <v>30918.592000000004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201201.31199999998</v>
      </c>
    </row>
    <row r="6" spans="1:6">
      <c r="A6" s="5"/>
      <c r="B6" s="7" t="s">
        <v>4</v>
      </c>
      <c r="C6" s="13" t="s">
        <v>24</v>
      </c>
      <c r="D6" s="12">
        <f>796.9*12*16.39</f>
        <v>156734.29199999999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796.9*4.65*12</f>
        <v>44467.020000000004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796.9*12*0.003</f>
        <v>28.688399999999998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796.9*12*2.54</f>
        <v>24289.511999999999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796.9*12*2.11</f>
        <v>20177.507999999998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796.9*12*2.6</f>
        <v>24863.279999999999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796.9*12*1.92</f>
        <v>18360.575999999997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796.9*12*2.34</f>
        <v>22376.951999999997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796.9*12*1.36</f>
        <v>13005.407999999999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796.9*12*3.03</f>
        <v>28975.283999999996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796.9*12*0.07</f>
        <v>669.39599999999996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796.9*12*0.42</f>
        <v>4016.3759999999997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176762.9804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-20028.688400000014</v>
      </c>
    </row>
    <row r="23" spans="1:6">
      <c r="A23" s="5"/>
      <c r="B23" s="25" t="s">
        <v>16</v>
      </c>
      <c r="C23" s="26"/>
      <c r="D23" s="27"/>
    </row>
    <row r="24" spans="1:6">
      <c r="A24" s="5"/>
      <c r="B24" s="37" t="s">
        <v>42</v>
      </c>
      <c r="C24" s="13" t="s">
        <v>24</v>
      </c>
      <c r="D24" s="12">
        <v>14000</v>
      </c>
    </row>
    <row r="25" spans="1:6">
      <c r="A25" s="5"/>
      <c r="B25" s="37" t="s">
        <v>36</v>
      </c>
      <c r="C25" s="13" t="s">
        <v>24</v>
      </c>
      <c r="D25" s="12">
        <v>4000</v>
      </c>
    </row>
    <row r="26" spans="1:6">
      <c r="A26" s="5"/>
      <c r="B26" s="33" t="s">
        <v>35</v>
      </c>
      <c r="C26" s="23" t="s">
        <v>24</v>
      </c>
      <c r="D26" s="22">
        <f>D25+D24</f>
        <v>18000</v>
      </c>
    </row>
    <row r="27" spans="1:6">
      <c r="A27" s="5"/>
      <c r="B27" s="6" t="s">
        <v>15</v>
      </c>
      <c r="C27" s="13" t="s">
        <v>24</v>
      </c>
      <c r="D27" s="11">
        <f>D7-D26</f>
        <v>26467.020000000004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208296</v>
      </c>
    </row>
    <row r="6" spans="1:6">
      <c r="A6" s="5"/>
      <c r="B6" s="7" t="s">
        <v>4</v>
      </c>
      <c r="C6" s="13" t="s">
        <v>24</v>
      </c>
      <c r="D6" s="12">
        <f>825*12*16.39</f>
        <v>162261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825*4.65*12</f>
        <v>46035.000000000007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825*12*0.003</f>
        <v>29.7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825*12*2.54</f>
        <v>25146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825*12*2.11</f>
        <v>20889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825*12*2.6</f>
        <v>25740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825*12*1.92</f>
        <v>19008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825*12*2.34</f>
        <v>23166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825*12*1.36</f>
        <v>13464.000000000002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825*12*3.03</f>
        <v>29996.999999999996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825*12*0.07</f>
        <v>693.00000000000011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825*12*0.42</f>
        <v>4158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182290.7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-20029.700000000012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37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30835.000000000007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7" sqref="B27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207134.592</v>
      </c>
    </row>
    <row r="6" spans="1:6">
      <c r="A6" s="5"/>
      <c r="B6" s="7" t="s">
        <v>4</v>
      </c>
      <c r="C6" s="13" t="s">
        <v>24</v>
      </c>
      <c r="D6" s="12">
        <f>820.4*12*16.39</f>
        <v>161356.272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820.4*4.65*12</f>
        <v>45778.32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820.4*12*0.003</f>
        <v>29.534399999999998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820.4*12*2.54</f>
        <v>25005.791999999998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820.4*12*2.11</f>
        <v>20772.527999999998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820.4*12*2.6</f>
        <v>25596.48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820.4*12*1.92</f>
        <v>18902.016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820.4*12*2.34</f>
        <v>23036.831999999999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820.4*12*1.36</f>
        <v>13388.928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820.4*12*3.03</f>
        <v>29829.743999999995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820.4*12*0.07</f>
        <v>689.13599999999997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820.4*12*0.42</f>
        <v>4134.8159999999998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181385.80639999997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-20029.534399999975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33</v>
      </c>
      <c r="C25" s="13" t="s">
        <v>24</v>
      </c>
      <c r="D25" s="12">
        <v>4100</v>
      </c>
    </row>
    <row r="26" spans="1:6">
      <c r="A26" s="5"/>
      <c r="B26" s="37" t="s">
        <v>18</v>
      </c>
      <c r="C26" s="13" t="s">
        <v>24</v>
      </c>
      <c r="D26" s="12">
        <v>1200</v>
      </c>
    </row>
    <row r="27" spans="1:6">
      <c r="A27" s="5"/>
      <c r="B27" s="37" t="s">
        <v>40</v>
      </c>
      <c r="C27" s="13" t="s">
        <v>24</v>
      </c>
      <c r="D27" s="12">
        <v>14000</v>
      </c>
    </row>
    <row r="28" spans="1:6">
      <c r="B28" s="23" t="s">
        <v>35</v>
      </c>
      <c r="C28" s="13" t="s">
        <v>24</v>
      </c>
      <c r="D28" s="22">
        <f>D27+D26+D25</f>
        <v>19300</v>
      </c>
    </row>
    <row r="29" spans="1:6">
      <c r="B29" s="6" t="s">
        <v>15</v>
      </c>
      <c r="C29" s="13" t="s">
        <v>24</v>
      </c>
      <c r="D29" s="34">
        <f>D7-D28</f>
        <v>26478.32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208371.74399999998</v>
      </c>
    </row>
    <row r="6" spans="1:6">
      <c r="A6" s="5"/>
      <c r="B6" s="7" t="s">
        <v>4</v>
      </c>
      <c r="C6" s="13" t="s">
        <v>24</v>
      </c>
      <c r="D6" s="12">
        <f>825.3*12*16.39</f>
        <v>162320.00399999999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825.3*4.65*12</f>
        <v>46051.74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825.3*12*0.003</f>
        <v>29.710799999999995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825.3*12*2.54</f>
        <v>25155.143999999997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825.3*12*2.11</f>
        <v>20896.595999999994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825.3*12*2.6</f>
        <v>25749.359999999997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825.3*12*1.92</f>
        <v>19014.911999999997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825.3*12*2.34</f>
        <v>23174.423999999995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825.3*12*1.36</f>
        <v>13468.895999999999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825.3*12*3.03</f>
        <v>30007.907999999992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825.3*12*0.07</f>
        <v>693.25199999999995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825.3*12*0.42</f>
        <v>4159.5119999999988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182349.71479999996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-20029.710799999972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33</v>
      </c>
      <c r="C25" s="13" t="s">
        <v>24</v>
      </c>
      <c r="D25" s="12">
        <v>4100</v>
      </c>
    </row>
    <row r="26" spans="1:6">
      <c r="A26" s="5"/>
      <c r="B26" s="37" t="s">
        <v>18</v>
      </c>
      <c r="C26" s="13" t="s">
        <v>24</v>
      </c>
      <c r="D26" s="12">
        <v>1200</v>
      </c>
    </row>
    <row r="27" spans="1:6">
      <c r="A27" s="5"/>
      <c r="B27" s="37" t="s">
        <v>40</v>
      </c>
      <c r="C27" s="13" t="s">
        <v>24</v>
      </c>
      <c r="D27" s="12">
        <v>14000</v>
      </c>
    </row>
    <row r="28" spans="1:6">
      <c r="B28" s="23" t="s">
        <v>35</v>
      </c>
      <c r="C28" s="13" t="s">
        <v>24</v>
      </c>
      <c r="D28" s="22">
        <f>D27+D26+D25</f>
        <v>19300</v>
      </c>
    </row>
    <row r="29" spans="1:6">
      <c r="B29" s="6" t="s">
        <v>15</v>
      </c>
      <c r="C29" s="13" t="s">
        <v>24</v>
      </c>
      <c r="D29" s="34">
        <f>D7-D28</f>
        <v>26751.739999999998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209836.12800000003</v>
      </c>
    </row>
    <row r="6" spans="1:6">
      <c r="A6" s="5"/>
      <c r="B6" s="7" t="s">
        <v>4</v>
      </c>
      <c r="C6" s="13" t="s">
        <v>24</v>
      </c>
      <c r="D6" s="12">
        <f>831.1*12*16.39</f>
        <v>163460.74800000002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831.1*4.65*12</f>
        <v>46375.380000000005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831.1*12*0.003</f>
        <v>29.919600000000003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831.1*12*2.54</f>
        <v>25331.928000000004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831.1*12*2.11</f>
        <v>21043.452000000001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831.1*12*2.6</f>
        <v>25930.320000000003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831.1*12*1.92</f>
        <v>19148.544000000002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831.1*12*2.34</f>
        <v>23337.288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831.1*12*1.36</f>
        <v>13563.552000000001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831.1*12*3.03</f>
        <v>30218.795999999998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831.1*12*0.07</f>
        <v>698.12400000000014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831.1*12*0.42</f>
        <v>4188.7440000000006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183490.66760000002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-20029.919599999994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33</v>
      </c>
      <c r="C25" s="13" t="s">
        <v>24</v>
      </c>
      <c r="D25" s="12">
        <v>2500</v>
      </c>
    </row>
    <row r="26" spans="1:6">
      <c r="A26" s="5"/>
      <c r="B26" s="37" t="s">
        <v>18</v>
      </c>
      <c r="C26" s="13" t="s">
        <v>24</v>
      </c>
      <c r="D26" s="12">
        <v>1200</v>
      </c>
    </row>
    <row r="27" spans="1:6">
      <c r="A27" s="5"/>
      <c r="B27" s="37" t="s">
        <v>40</v>
      </c>
      <c r="C27" s="13" t="s">
        <v>24</v>
      </c>
      <c r="D27" s="12">
        <v>14000</v>
      </c>
    </row>
    <row r="28" spans="1:6">
      <c r="B28" s="23" t="s">
        <v>35</v>
      </c>
      <c r="C28" s="13" t="s">
        <v>24</v>
      </c>
      <c r="D28" s="22">
        <f>D27+D26+D25</f>
        <v>17700</v>
      </c>
    </row>
    <row r="29" spans="1:6">
      <c r="B29" s="6" t="s">
        <v>15</v>
      </c>
      <c r="C29" s="13" t="s">
        <v>24</v>
      </c>
      <c r="D29" s="34">
        <f>D7-D28</f>
        <v>28675.380000000005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D28" sqref="D28"/>
    </sheetView>
  </sheetViews>
  <sheetFormatPr defaultRowHeight="12"/>
  <cols>
    <col min="1" max="1" width="2.88671875" style="3" customWidth="1"/>
    <col min="2" max="2" width="50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2.2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209129.18400000001</v>
      </c>
    </row>
    <row r="6" spans="1:6">
      <c r="A6" s="5"/>
      <c r="B6" s="7" t="s">
        <v>4</v>
      </c>
      <c r="C6" s="13" t="s">
        <v>24</v>
      </c>
      <c r="D6" s="12">
        <f>828.3*12*16.39</f>
        <v>162910.04399999999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828.3*4.65*12</f>
        <v>46219.14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828.3*12*0.003</f>
        <v>29.818799999999996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828.3*12*2.54</f>
        <v>25246.583999999995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828.3*12*2.11</f>
        <v>20972.555999999997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828.3*12*2.6</f>
        <v>25842.959999999995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828.3*12*1.92</f>
        <v>19084.031999999996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828.3*12*2.34</f>
        <v>23258.663999999993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828.3*12*1.36</f>
        <v>13517.856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828.3*12*3.03</f>
        <v>30116.987999999994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828.3*12*0.07</f>
        <v>695.77199999999993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828.3*12*0.42</f>
        <v>4174.6319999999996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182939.86279999997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-20029.818799999979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31019.14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topLeftCell="A2"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207462.81600000005</v>
      </c>
    </row>
    <row r="6" spans="1:6">
      <c r="A6" s="5"/>
      <c r="B6" s="7" t="s">
        <v>4</v>
      </c>
      <c r="C6" s="13" t="s">
        <v>24</v>
      </c>
      <c r="D6" s="12">
        <f>821.7*12*16.39</f>
        <v>161611.95600000003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821.7*4.65*12</f>
        <v>45850.860000000008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821.7*12*0.003</f>
        <v>29.581200000000006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821.7*12*2.54</f>
        <v>25045.416000000005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821.7*12*2.11</f>
        <v>20805.444000000003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821.7*12*2.6</f>
        <v>25637.040000000005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821.7*12*1.92</f>
        <v>18931.968000000001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821.7*12*2.34</f>
        <v>23073.336000000003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821.7*12*1.36</f>
        <v>13410.144000000002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821.7*12*3.03</f>
        <v>29877.012000000002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821.7*12*0.07</f>
        <v>690.22800000000018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821.7*12*0.42</f>
        <v>4141.3680000000004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181641.53720000002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-20029.581199999986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33</v>
      </c>
      <c r="C25" s="13" t="s">
        <v>24</v>
      </c>
      <c r="D25" s="12">
        <v>2500</v>
      </c>
    </row>
    <row r="26" spans="1:6">
      <c r="A26" s="5"/>
      <c r="B26" s="37" t="s">
        <v>18</v>
      </c>
      <c r="C26" s="13" t="s">
        <v>24</v>
      </c>
      <c r="D26" s="12">
        <v>1200</v>
      </c>
    </row>
    <row r="27" spans="1:6">
      <c r="A27" s="5"/>
      <c r="B27" s="37" t="s">
        <v>40</v>
      </c>
      <c r="C27" s="13" t="s">
        <v>24</v>
      </c>
      <c r="D27" s="12">
        <v>14000</v>
      </c>
    </row>
    <row r="28" spans="1:6">
      <c r="B28" s="23" t="s">
        <v>35</v>
      </c>
      <c r="C28" s="13" t="s">
        <v>24</v>
      </c>
      <c r="D28" s="22">
        <f>D27+D26+D25</f>
        <v>17700</v>
      </c>
    </row>
    <row r="29" spans="1:6">
      <c r="B29" s="6" t="s">
        <v>15</v>
      </c>
      <c r="C29" s="13" t="s">
        <v>24</v>
      </c>
      <c r="D29" s="34">
        <f>D7-D28</f>
        <v>28150.860000000008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D28" sqref="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212057.95200000002</v>
      </c>
    </row>
    <row r="6" spans="1:6">
      <c r="A6" s="5"/>
      <c r="B6" s="7" t="s">
        <v>4</v>
      </c>
      <c r="C6" s="13" t="s">
        <v>24</v>
      </c>
      <c r="D6" s="12">
        <f>839.9*12*16.39</f>
        <v>165191.53200000001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839.9*4.65*12</f>
        <v>46866.420000000006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839.9*12*0.003</f>
        <v>30.2364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839.9*12*2.54</f>
        <v>25600.151999999998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839.9*12*2.11</f>
        <v>21266.267999999996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839.9*12*2.6</f>
        <v>26204.879999999997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839.9*12*1.92</f>
        <v>19351.295999999998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839.9*12*2.34</f>
        <v>23584.391999999996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839.9*12*1.36</f>
        <v>13707.168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839.9*12*3.03</f>
        <v>30538.763999999996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839.9*12*0.07</f>
        <v>705.51599999999996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839.9*12*0.42</f>
        <v>4233.0959999999995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185221.7684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-20030.236399999994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31666.420000000006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D28" sqref="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211578.23999999999</v>
      </c>
    </row>
    <row r="6" spans="1:6">
      <c r="A6" s="5"/>
      <c r="B6" s="7" t="s">
        <v>4</v>
      </c>
      <c r="C6" s="13" t="s">
        <v>24</v>
      </c>
      <c r="D6" s="12">
        <f>838*12*16.39</f>
        <v>164817.84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838*4.65*12</f>
        <v>46760.4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838*12*0.003</f>
        <v>30.167999999999999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838*12*2.54</f>
        <v>25542.240000000002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838*12*2.11</f>
        <v>21218.16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838*12*2.6</f>
        <v>26145.600000000002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838*12*1.92</f>
        <v>19307.52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838*12*2.34</f>
        <v>23531.039999999997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838*12*1.36</f>
        <v>13676.160000000002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838*12*3.03</f>
        <v>30469.679999999997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838*12*0.07</f>
        <v>703.92000000000007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838*12*0.42</f>
        <v>4223.5199999999995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184848.008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-20030.168000000005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31560.400000000001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D28" sqref="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238846.08000000002</v>
      </c>
    </row>
    <row r="6" spans="1:6">
      <c r="A6" s="5"/>
      <c r="B6" s="7" t="s">
        <v>4</v>
      </c>
      <c r="C6" s="13" t="s">
        <v>24</v>
      </c>
      <c r="D6" s="12">
        <f>946*12*16.39</f>
        <v>186059.28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946*4.65*12</f>
        <v>52786.8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946*12*0.003</f>
        <v>34.055999999999997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946*12*2.54</f>
        <v>28834.080000000002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946*12*2.11</f>
        <v>23952.719999999998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946*12*2.6</f>
        <v>29515.200000000001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946*12*1.92</f>
        <v>21795.84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946*12*2.34</f>
        <v>26563.679999999997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946*12*1.36</f>
        <v>15438.720000000001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946*12*3.03</f>
        <v>34396.559999999998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946*12*0.07</f>
        <v>794.6400000000001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946*12*0.42</f>
        <v>4767.84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206093.33600000004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-20034.056000000041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37586.800000000003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D28" sqref="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203852.35200000001</v>
      </c>
    </row>
    <row r="6" spans="1:6">
      <c r="A6" s="5"/>
      <c r="B6" s="7" t="s">
        <v>4</v>
      </c>
      <c r="C6" s="13" t="s">
        <v>24</v>
      </c>
      <c r="D6" s="12">
        <f>807.4*12*16.39</f>
        <v>158799.432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807.4*4.65*12</f>
        <v>45052.920000000006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807.4*12*0.003</f>
        <v>29.066399999999998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807.4*12*2.54</f>
        <v>24609.552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807.4*12*2.11</f>
        <v>20443.367999999999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807.4*12*2.6</f>
        <v>25190.879999999997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807.4*12*1.92</f>
        <v>18602.495999999999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807.4*12*2.34</f>
        <v>22671.791999999998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807.4*12*1.36</f>
        <v>13176.768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807.4*12*3.03</f>
        <v>29357.063999999995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807.4*12*0.07</f>
        <v>678.21600000000001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807.4*12*0.42</f>
        <v>4069.2959999999994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178828.49839999998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-20029.066399999982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29852.920000000006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197186.88</v>
      </c>
    </row>
    <row r="6" spans="1:6">
      <c r="A6" s="5"/>
      <c r="B6" s="7" t="s">
        <v>4</v>
      </c>
      <c r="C6" s="13" t="s">
        <v>24</v>
      </c>
      <c r="D6" s="12">
        <f>781*12*16.39</f>
        <v>153607.08000000002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781*4.65*12</f>
        <v>43579.8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781*12*0.003</f>
        <v>28.116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781*12*2.54</f>
        <v>23804.880000000001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781*12*2.11</f>
        <v>19774.919999999998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781*12*2.6</f>
        <v>24367.200000000001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781*12*1.92</f>
        <v>17994.239999999998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781*12*2.34</f>
        <v>21930.48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781*12*1.36</f>
        <v>12745.92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781*12*3.03</f>
        <v>28397.16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781*12*0.07</f>
        <v>656.04000000000008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781*12*0.42</f>
        <v>3936.24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173635.196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-20028.11599999998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/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19200</v>
      </c>
    </row>
    <row r="29" spans="1:6">
      <c r="A29" s="39"/>
      <c r="B29" s="6" t="s">
        <v>15</v>
      </c>
      <c r="C29" s="13" t="s">
        <v>24</v>
      </c>
      <c r="D29" s="11">
        <f>D7-D28</f>
        <v>24379.800000000003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D28" sqref="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206579.13600000003</v>
      </c>
    </row>
    <row r="6" spans="1:6">
      <c r="A6" s="5"/>
      <c r="B6" s="7" t="s">
        <v>4</v>
      </c>
      <c r="C6" s="13" t="s">
        <v>24</v>
      </c>
      <c r="D6" s="12">
        <f>818.2*12*16.39</f>
        <v>160923.57600000003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818.2*4.65*12</f>
        <v>45655.560000000005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818.2*12*0.003</f>
        <v>29.455200000000005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818.2*12*2.54</f>
        <v>24938.736000000004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818.2*12*2.11</f>
        <v>20716.824000000001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818.2*12*2.6</f>
        <v>25527.840000000004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818.2*12*1.92</f>
        <v>18851.328000000001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818.2*12*2.34</f>
        <v>22975.056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818.2*12*1.36</f>
        <v>13353.024000000003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818.2*12*3.03</f>
        <v>29749.752000000004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818.2*12*0.07</f>
        <v>687.28800000000012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818.2*12*0.42</f>
        <v>4123.7280000000001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180953.0312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-20029.455199999968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30455.560000000005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25" sqref="B25: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209785.63199999998</v>
      </c>
    </row>
    <row r="6" spans="1:6">
      <c r="A6" s="5"/>
      <c r="B6" s="7" t="s">
        <v>4</v>
      </c>
      <c r="C6" s="13" t="s">
        <v>24</v>
      </c>
      <c r="D6" s="12">
        <f>830.9*12*16.39</f>
        <v>163421.41199999998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830.9*4.65*12</f>
        <v>46364.22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830.9*12*0.003</f>
        <v>29.912399999999998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830.9*12*2.54</f>
        <v>25325.831999999999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830.9*12*2.11</f>
        <v>21038.387999999999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830.9*12*2.6</f>
        <v>25924.079999999998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830.9*12*1.92</f>
        <v>19143.935999999998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830.9*12*2.34</f>
        <v>23331.671999999999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830.9*12*1.36</f>
        <v>13560.288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830.9*12*3.03</f>
        <v>30211.523999999998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830.9*12*0.07</f>
        <v>697.95600000000002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830.9*12*0.42</f>
        <v>4187.7359999999999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183451.32440000001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-20029.91240000003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31164.22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H26" sqref="H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104501.47199999998</v>
      </c>
    </row>
    <row r="6" spans="1:6">
      <c r="A6" s="5"/>
      <c r="B6" s="7" t="s">
        <v>4</v>
      </c>
      <c r="C6" s="13" t="s">
        <v>24</v>
      </c>
      <c r="D6" s="12">
        <f>413.9*12*16.39</f>
        <v>81405.851999999984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413.9*4.65*12</f>
        <v>23095.62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413.9*12*0.003</f>
        <v>14.900399999999998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413.9*12*2.54</f>
        <v>12615.671999999999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413.9*12*2.11</f>
        <v>10479.947999999999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413.9*12*2.6</f>
        <v>12913.679999999998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413.9*12*1.92</f>
        <v>9536.2559999999976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413.9*12*2.34</f>
        <v>11622.311999999998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413.9*12*1.36</f>
        <v>6754.847999999999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413.9*12*3.03</f>
        <v>15049.403999999997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413.9*12*0.07</f>
        <v>347.67599999999999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413.9*12*0.42</f>
        <v>2086.0559999999996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101420.75239999998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-20014.900399999999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A28" s="5"/>
      <c r="B28" s="6" t="s">
        <v>15</v>
      </c>
      <c r="C28" s="13" t="s">
        <v>24</v>
      </c>
      <c r="D28" s="34">
        <f>D7-D27</f>
        <v>7895.619999999999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workbookViewId="0">
      <selection activeCell="A2" sqref="A2:D2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266365.8</v>
      </c>
    </row>
    <row r="6" spans="1:6">
      <c r="A6" s="5"/>
      <c r="B6" s="7" t="s">
        <v>4</v>
      </c>
      <c r="C6" s="13" t="s">
        <v>24</v>
      </c>
      <c r="D6" s="12">
        <f>829.8*12*20.67</f>
        <v>205823.59199999998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829.8*6.08*12</f>
        <v>60542.207999999999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829.8*12*2.38</f>
        <v>23699.087999999996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829.8*12*4.82</f>
        <v>47995.631999999998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829.8*12*2.29</f>
        <v>22802.903999999999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829.8*12*3.4</f>
        <v>33855.839999999997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829.8*12*2.61</f>
        <v>25989.335999999996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829.8*12*4.64</f>
        <v>46203.263999999988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829.8*12*0.1</f>
        <v>995.75999999999988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829.8*12*0.43</f>
        <v>4281.7679999999991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225823.59199999995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D22" s="11"/>
    </row>
    <row r="23" spans="1:6">
      <c r="A23" s="5"/>
      <c r="B23" s="37" t="s">
        <v>18</v>
      </c>
      <c r="C23" s="13" t="s">
        <v>24</v>
      </c>
      <c r="D23" s="12">
        <v>1200</v>
      </c>
    </row>
    <row r="24" spans="1:6">
      <c r="A24" s="29"/>
      <c r="B24" s="38" t="s">
        <v>39</v>
      </c>
      <c r="C24" s="13" t="s">
        <v>24</v>
      </c>
      <c r="D24" s="22">
        <v>15000</v>
      </c>
    </row>
    <row r="25" spans="1:6">
      <c r="A25" s="5"/>
      <c r="B25" s="37" t="s">
        <v>40</v>
      </c>
      <c r="C25" s="13" t="s">
        <v>24</v>
      </c>
      <c r="D25" s="12">
        <v>14000</v>
      </c>
    </row>
    <row r="26" spans="1:6">
      <c r="B26" s="23" t="s">
        <v>35</v>
      </c>
      <c r="C26" s="13" t="s">
        <v>24</v>
      </c>
      <c r="D26" s="22">
        <f>D25+D23+D24</f>
        <v>30200</v>
      </c>
    </row>
    <row r="27" spans="1:6">
      <c r="B27" s="6" t="s">
        <v>15</v>
      </c>
      <c r="C27" s="13" t="s">
        <v>24</v>
      </c>
      <c r="D27" s="34">
        <f>D7-D26</f>
        <v>30342.207999999999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104501.47199999998</v>
      </c>
    </row>
    <row r="6" spans="1:6">
      <c r="A6" s="5"/>
      <c r="B6" s="7" t="s">
        <v>4</v>
      </c>
      <c r="C6" s="13" t="s">
        <v>24</v>
      </c>
      <c r="D6" s="12">
        <f>413.9*12*16.39</f>
        <v>81405.851999999984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413.9*4.65*12</f>
        <v>23095.62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413.9*12*0.003</f>
        <v>14.900399999999998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413.9*12*2.54</f>
        <v>12615.671999999999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413.9*12*2.11</f>
        <v>10479.947999999999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413.9*12*2.6</f>
        <v>12913.679999999998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413.9*12*1.92</f>
        <v>9536.2559999999976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413.9*12*2.34</f>
        <v>11622.311999999998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413.9*12*1.36</f>
        <v>6754.847999999999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413.9*12*3.03</f>
        <v>15049.403999999997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413.9*12*0.07</f>
        <v>347.67599999999999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413.9*12*0.42</f>
        <v>2086.0559999999996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101420.75239999998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-20014.900399999999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7895.619999999999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E30" sqref="E30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212335.68</v>
      </c>
    </row>
    <row r="6" spans="1:6">
      <c r="A6" s="5"/>
      <c r="B6" s="7" t="s">
        <v>4</v>
      </c>
      <c r="C6" s="13" t="s">
        <v>24</v>
      </c>
      <c r="D6" s="12">
        <f>841*12*16.39</f>
        <v>165407.88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841*4.65*12</f>
        <v>46927.8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841*12*0.003</f>
        <v>30.276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841*12*2.54</f>
        <v>25633.68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841*12*2.11</f>
        <v>21294.12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841*12*2.6</f>
        <v>26239.200000000001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841*12*1.92</f>
        <v>19376.64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841*12*2.34</f>
        <v>23615.279999999999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841*12*1.36</f>
        <v>13725.12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841*12*3.03</f>
        <v>30578.76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841*12*0.07</f>
        <v>706.44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841*12*0.42</f>
        <v>4238.6399999999994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185438.15599999999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-20030.275999999983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A28" s="5"/>
      <c r="B28" s="6" t="s">
        <v>15</v>
      </c>
      <c r="C28" s="13" t="s">
        <v>24</v>
      </c>
      <c r="D28" s="34">
        <f>D7-D27</f>
        <v>31727.800000000003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I25" sqref="I25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207589.05600000004</v>
      </c>
    </row>
    <row r="6" spans="1:6">
      <c r="A6" s="5"/>
      <c r="B6" s="7" t="s">
        <v>4</v>
      </c>
      <c r="C6" s="13" t="s">
        <v>24</v>
      </c>
      <c r="D6" s="12">
        <f>822.2*12*16.39</f>
        <v>161710.29600000003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822.2*4.65*12</f>
        <v>45878.760000000009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822.2*12*0.003</f>
        <v>29.599200000000003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822.2*12*2.54</f>
        <v>25060.656000000003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822.2*12*2.11</f>
        <v>20818.104000000003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822.2*12*2.6</f>
        <v>25652.640000000003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822.2*12*1.92</f>
        <v>18943.488000000001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822.2*12*2.34</f>
        <v>23087.376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822.2*12*1.36</f>
        <v>13418.304000000004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822.2*12*3.03</f>
        <v>29895.192000000003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822.2*12*0.07</f>
        <v>690.64800000000014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822.2*12*0.42</f>
        <v>4143.8880000000008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181739.89520000003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-20029.599199999997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A28" s="5"/>
      <c r="B28" s="6" t="s">
        <v>15</v>
      </c>
      <c r="C28" s="13" t="s">
        <v>24</v>
      </c>
      <c r="D28" s="34">
        <f>D7-D27</f>
        <v>30678.760000000009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D31" sqref="D31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212436.67199999999</v>
      </c>
    </row>
    <row r="6" spans="1:6">
      <c r="A6" s="5"/>
      <c r="B6" s="7" t="s">
        <v>4</v>
      </c>
      <c r="C6" s="13" t="s">
        <v>24</v>
      </c>
      <c r="D6" s="12">
        <f>841.4*12*16.39</f>
        <v>165486.552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841.4*4.65*12</f>
        <v>46950.12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841.4*12*0.003</f>
        <v>30.290399999999998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841.4*12*2.54</f>
        <v>25645.871999999999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841.4*12*2.11</f>
        <v>21304.247999999996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841.4*12*2.6</f>
        <v>26251.68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841.4*12*1.92</f>
        <v>19385.855999999996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841.4*12*2.34</f>
        <v>23626.511999999995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841.4*12*1.36</f>
        <v>13731.647999999999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841.4*12*3.03</f>
        <v>30593.303999999996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841.4*12*0.07</f>
        <v>706.77600000000007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841.4*12*0.42</f>
        <v>4240.6559999999999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185516.84239999999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-20030.290399999998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A28" s="5"/>
      <c r="B28" s="6" t="s">
        <v>15</v>
      </c>
      <c r="C28" s="13" t="s">
        <v>24</v>
      </c>
      <c r="D28" s="34">
        <f>D7-D27</f>
        <v>31750.120000000003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215289.69600000003</v>
      </c>
    </row>
    <row r="6" spans="1:6">
      <c r="A6" s="5"/>
      <c r="B6" s="7" t="s">
        <v>4</v>
      </c>
      <c r="C6" s="13" t="s">
        <v>24</v>
      </c>
      <c r="D6" s="12">
        <f>852.7*12*16.39</f>
        <v>167709.03600000002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852.7*4.65*12</f>
        <v>47580.66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852.7*12*0.003</f>
        <v>30.697200000000006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852.7*12*2.54</f>
        <v>25990.296000000006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852.7*12*2.11</f>
        <v>21590.364000000001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852.7*12*2.6</f>
        <v>26604.240000000005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852.7*12*1.92</f>
        <v>19646.208000000002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852.7*12*2.34</f>
        <v>23943.816000000003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852.7*12*1.36</f>
        <v>13916.064000000002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852.7*12*3.03</f>
        <v>31004.172000000002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852.7*12*0.07</f>
        <v>716.26800000000014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852.7*12*0.42</f>
        <v>4297.6080000000002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187739.73320000002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-20030.697199999995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32380.660000000003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E31" sqref="E31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207690.04800000004</v>
      </c>
    </row>
    <row r="6" spans="1:6">
      <c r="A6" s="5"/>
      <c r="B6" s="7" t="s">
        <v>4</v>
      </c>
      <c r="C6" s="13" t="s">
        <v>24</v>
      </c>
      <c r="D6" s="12">
        <f>822.6*12*16.39</f>
        <v>161788.96800000002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822.6*4.65*12</f>
        <v>45901.080000000009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822.6*12*0.003</f>
        <v>29.613600000000002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822.6*12*2.54</f>
        <v>25072.848000000002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822.6*12*2.11</f>
        <v>20828.232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822.6*12*2.6</f>
        <v>25665.120000000003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822.6*12*1.92</f>
        <v>18952.704000000002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822.6*12*2.34</f>
        <v>23098.608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822.6*12*1.36</f>
        <v>13424.832000000002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822.6*12*3.03</f>
        <v>29909.736000000001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822.6*12*0.07</f>
        <v>690.98400000000015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822.6*12*0.42</f>
        <v>4145.9040000000005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181818.5816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-20029.613599999982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30701.080000000009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202286.97600000002</v>
      </c>
    </row>
    <row r="6" spans="1:6">
      <c r="A6" s="5"/>
      <c r="B6" s="7" t="s">
        <v>4</v>
      </c>
      <c r="C6" s="13" t="s">
        <v>24</v>
      </c>
      <c r="D6" s="12">
        <f>801.2*12*16.39</f>
        <v>157580.01600000003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801.2*4.65*12</f>
        <v>44706.960000000006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801.2*12*0.003</f>
        <v>28.843200000000007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801.2*12*2.54</f>
        <v>24420.576000000005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801.2*12*2.11</f>
        <v>20286.384000000002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801.2*12*2.6</f>
        <v>24997.440000000006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801.2*12*1.92</f>
        <v>18459.648000000001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801.2*12*2.34</f>
        <v>22497.696000000004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801.2*12*1.34</f>
        <v>12883.296000000002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801.2*12*3.03</f>
        <v>29131.632000000001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801.2*12*0.07</f>
        <v>673.00800000000015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801.2*12*0.42</f>
        <v>4038.0480000000007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177416.57120000001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-19836.555199999973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42</v>
      </c>
      <c r="C25" s="13" t="s">
        <v>24</v>
      </c>
      <c r="D25" s="12">
        <v>14000</v>
      </c>
    </row>
    <row r="26" spans="1:6">
      <c r="A26" s="5"/>
      <c r="B26" s="37" t="s">
        <v>34</v>
      </c>
      <c r="C26" s="13" t="s">
        <v>24</v>
      </c>
      <c r="D26" s="12">
        <v>4000</v>
      </c>
    </row>
    <row r="27" spans="1:6">
      <c r="A27" s="5"/>
      <c r="B27" s="23" t="s">
        <v>35</v>
      </c>
      <c r="C27" s="13" t="s">
        <v>24</v>
      </c>
      <c r="D27" s="22">
        <f>D26+D25</f>
        <v>18000</v>
      </c>
    </row>
    <row r="28" spans="1:6">
      <c r="A28" s="5"/>
      <c r="B28" s="6" t="s">
        <v>15</v>
      </c>
      <c r="C28" s="13" t="s">
        <v>24</v>
      </c>
      <c r="D28" s="11">
        <f>D7-D27</f>
        <v>26706.960000000006</v>
      </c>
    </row>
  </sheetData>
  <mergeCells count="3">
    <mergeCell ref="A2:D2"/>
    <mergeCell ref="B9:D9"/>
    <mergeCell ref="B23:D2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D29" sqref="D29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209078.68800000002</v>
      </c>
    </row>
    <row r="6" spans="1:6">
      <c r="A6" s="5"/>
      <c r="B6" s="7" t="s">
        <v>4</v>
      </c>
      <c r="C6" s="13" t="s">
        <v>24</v>
      </c>
      <c r="D6" s="12">
        <f>828.1*12*16.39</f>
        <v>162870.70800000001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828.1*4.65*12</f>
        <v>46207.98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828.1*12*0.003</f>
        <v>29.811600000000002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828.1*12*2.54</f>
        <v>25240.488000000001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828.1*12*2.11</f>
        <v>20967.492000000002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828.1*12*2.6</f>
        <v>25836.720000000001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828.1*12*1.92</f>
        <v>19079.423999999999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828.1*12*2.34</f>
        <v>23253.047999999999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828.1*12*1.36</f>
        <v>13514.592000000002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828.1*12*3.03</f>
        <v>30109.716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828.1*12*0.07</f>
        <v>695.60400000000016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828.1*12*0.42</f>
        <v>4173.6239999999998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182900.5196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-20029.811599999986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3"/>
      <c r="D24" s="11"/>
    </row>
    <row r="25" spans="1:6">
      <c r="A25" s="29"/>
      <c r="B25" s="36" t="s">
        <v>41</v>
      </c>
      <c r="C25" s="13" t="s">
        <v>24</v>
      </c>
      <c r="D25" s="35">
        <v>23000</v>
      </c>
    </row>
    <row r="26" spans="1:6">
      <c r="A26" s="5"/>
      <c r="B26" s="37" t="s">
        <v>18</v>
      </c>
      <c r="C26" s="13" t="s">
        <v>24</v>
      </c>
      <c r="D26" s="12">
        <v>1200</v>
      </c>
    </row>
    <row r="27" spans="1:6">
      <c r="A27" s="5"/>
      <c r="B27" s="37" t="s">
        <v>40</v>
      </c>
      <c r="C27" s="13" t="s">
        <v>24</v>
      </c>
      <c r="D27" s="12">
        <v>14000</v>
      </c>
    </row>
    <row r="28" spans="1:6">
      <c r="A28" s="5"/>
      <c r="B28" s="23" t="s">
        <v>35</v>
      </c>
      <c r="C28" s="13" t="s">
        <v>24</v>
      </c>
      <c r="D28" s="22">
        <f>D27+D26+D25</f>
        <v>38200</v>
      </c>
    </row>
    <row r="29" spans="1:6">
      <c r="B29" s="6" t="s">
        <v>15</v>
      </c>
      <c r="C29" s="13" t="s">
        <v>24</v>
      </c>
      <c r="D29" s="34">
        <f>D7-D28</f>
        <v>8007.9800000000032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C32" sqref="C32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208548.47999999998</v>
      </c>
    </row>
    <row r="6" spans="1:6">
      <c r="A6" s="5"/>
      <c r="B6" s="7" t="s">
        <v>4</v>
      </c>
      <c r="C6" s="13" t="s">
        <v>24</v>
      </c>
      <c r="D6" s="12">
        <f>826*12*16.39</f>
        <v>162457.68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826*4.65*12</f>
        <v>46090.8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826*12*0.003</f>
        <v>29.736000000000001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826*12*2.54</f>
        <v>25176.48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826*12*2.11</f>
        <v>20914.32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826*12*2.6</f>
        <v>25771.200000000001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826*12*1.92</f>
        <v>19031.04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826*12*2.34</f>
        <v>23194.079999999998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826*12*1.36</f>
        <v>13480.320000000002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826*12*3.03</f>
        <v>30033.359999999997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826*12*0.07</f>
        <v>693.84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826*12*0.42</f>
        <v>4163.04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182487.41600000003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-20029.736000000034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A28" s="5"/>
      <c r="B28" s="6" t="s">
        <v>15</v>
      </c>
      <c r="C28" s="13" t="s">
        <v>24</v>
      </c>
      <c r="D28" s="34">
        <f>D7-D27</f>
        <v>30890.800000000003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25" sqref="B25: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207134.592</v>
      </c>
    </row>
    <row r="6" spans="1:6">
      <c r="A6" s="5"/>
      <c r="B6" s="7" t="s">
        <v>4</v>
      </c>
      <c r="C6" s="13" t="s">
        <v>24</v>
      </c>
      <c r="D6" s="12">
        <f>820.4*12*16.39</f>
        <v>161356.272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820.4*4.65*12</f>
        <v>45778.32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820.4*12*0.003</f>
        <v>29.534399999999998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820.4*12*2.54</f>
        <v>25005.791999999998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820.4*12*2.11</f>
        <v>20772.527999999998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820.4*12*2.6</f>
        <v>25596.48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820.4*12*1.92</f>
        <v>18902.016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820.4*12*2.34</f>
        <v>23036.831999999999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820.4*12*1.36</f>
        <v>13388.928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820.4*12*3.03</f>
        <v>29829.743999999995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820.4*12*0.07</f>
        <v>689.13599999999997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820.4*12*0.42</f>
        <v>4134.8159999999998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181385.80639999997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-20029.534399999975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30578.32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25" sqref="B25: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208296</v>
      </c>
    </row>
    <row r="6" spans="1:6">
      <c r="A6" s="5"/>
      <c r="B6" s="7" t="s">
        <v>4</v>
      </c>
      <c r="C6" s="13" t="s">
        <v>24</v>
      </c>
      <c r="D6" s="12">
        <f>825*12*16.39</f>
        <v>162261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825*4.65*12</f>
        <v>46035.000000000007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825*12*0.003</f>
        <v>29.7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825*12*2.54</f>
        <v>25146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825*12*2.11</f>
        <v>20889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825*12*2.6</f>
        <v>25740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825*12*1.92</f>
        <v>19008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825*12*2.34</f>
        <v>23166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825*12*1.36</f>
        <v>13464.000000000002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825*12*3.03</f>
        <v>29996.999999999996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825*12*0.07</f>
        <v>693.00000000000011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825*12*0.42</f>
        <v>4158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182290.7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-20029.700000000012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B28" s="6" t="s">
        <v>15</v>
      </c>
      <c r="C28" s="13" t="s">
        <v>24</v>
      </c>
      <c r="D28" s="34">
        <f>D7-D27</f>
        <v>30835.000000000007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workbookViewId="0">
      <selection activeCell="B25" sqref="B25:D28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104829.696</v>
      </c>
    </row>
    <row r="6" spans="1:6">
      <c r="A6" s="5"/>
      <c r="B6" s="7" t="s">
        <v>4</v>
      </c>
      <c r="C6" s="13" t="s">
        <v>24</v>
      </c>
      <c r="D6" s="12">
        <f>415.2*12*16.39</f>
        <v>81661.535999999993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415.2*4.65*12</f>
        <v>23168.16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415.2*12*0.003</f>
        <v>14.947199999999999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415.2*12*2.54</f>
        <v>12655.295999999998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415.2*12*2.11</f>
        <v>10512.863999999998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415.2*12*2.6</f>
        <v>12954.24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415.2*12*1.92</f>
        <v>9566.2079999999987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415.2*12*2.34</f>
        <v>11658.815999999999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415.2*12*1.36</f>
        <v>6776.0640000000003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415.2*12*3.03</f>
        <v>15096.671999999999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415.2*12*0.07</f>
        <v>348.76800000000003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415.2*12*0.42</f>
        <v>2092.6079999999997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101676.48319999999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-20014.947199999995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40</v>
      </c>
      <c r="C26" s="13" t="s">
        <v>24</v>
      </c>
      <c r="D26" s="12">
        <v>14000</v>
      </c>
    </row>
    <row r="27" spans="1:6">
      <c r="A27" s="5"/>
      <c r="B27" s="23" t="s">
        <v>35</v>
      </c>
      <c r="C27" s="13" t="s">
        <v>24</v>
      </c>
      <c r="D27" s="22">
        <f>D26+D25</f>
        <v>15200</v>
      </c>
    </row>
    <row r="28" spans="1:6">
      <c r="A28" s="5"/>
      <c r="B28" s="6" t="s">
        <v>15</v>
      </c>
      <c r="C28" s="13" t="s">
        <v>24</v>
      </c>
      <c r="D28" s="34">
        <f>D7-D27</f>
        <v>7968.16</v>
      </c>
    </row>
  </sheetData>
  <mergeCells count="3">
    <mergeCell ref="A2:D2"/>
    <mergeCell ref="B9:D9"/>
    <mergeCell ref="B23:D2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A2" sqref="A2:D2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275225.40000000002</v>
      </c>
    </row>
    <row r="6" spans="1:6">
      <c r="A6" s="5"/>
      <c r="B6" s="7" t="s">
        <v>4</v>
      </c>
      <c r="C6" s="13" t="s">
        <v>24</v>
      </c>
      <c r="D6" s="12">
        <f>857.4*12*20.67</f>
        <v>212669.49600000001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857.4*6.08*12</f>
        <v>62555.904000000002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857.4*12*2.38</f>
        <v>24487.343999999997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857.4*12*4.82</f>
        <v>49592.015999999996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857.4*12*2.29</f>
        <v>23561.351999999999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857.4*12*3.4</f>
        <v>34981.919999999998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857.4*12*2.61</f>
        <v>26853.767999999996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857.4*12*4.64</f>
        <v>47740.031999999992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857.4*12*0.1</f>
        <v>1028.8799999999999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857.4*12*0.43</f>
        <v>4424.1839999999993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232669.49599999998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D22" s="11"/>
    </row>
    <row r="23" spans="1:6">
      <c r="A23" s="29"/>
      <c r="B23" s="38" t="s">
        <v>39</v>
      </c>
      <c r="C23" s="13" t="s">
        <v>24</v>
      </c>
      <c r="D23" s="2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33555.904000000002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268516.5</v>
      </c>
    </row>
    <row r="6" spans="1:6">
      <c r="A6" s="5"/>
      <c r="B6" s="7" t="s">
        <v>4</v>
      </c>
      <c r="C6" s="13" t="s">
        <v>24</v>
      </c>
      <c r="D6" s="12">
        <f>836.5*12*20.67</f>
        <v>207485.46000000002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836.5*6.08*12</f>
        <v>61031.040000000001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836.5*12*2.38</f>
        <v>23890.44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836.5*12*4.82</f>
        <v>48383.16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836.5*12*2.29</f>
        <v>22987.02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836.5*12*3.4</f>
        <v>34129.199999999997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836.5*12*2.61</f>
        <v>26199.18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836.5*12*4.64</f>
        <v>46576.32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836.5*12*0.1</f>
        <v>1003.8000000000001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836.5*12*0.43</f>
        <v>4316.34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227485.46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32031.040000000001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268677</v>
      </c>
    </row>
    <row r="6" spans="1:6">
      <c r="A6" s="5"/>
      <c r="B6" s="7" t="s">
        <v>4</v>
      </c>
      <c r="C6" s="13" t="s">
        <v>24</v>
      </c>
      <c r="D6" s="12">
        <f>837*12*20.67</f>
        <v>207609.48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837*6.08*12</f>
        <v>61067.520000000004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837*12*2.38</f>
        <v>23904.719999999998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837*12*4.82</f>
        <v>48412.08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837*12*2.29</f>
        <v>23000.760000000002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837*12*3.4</f>
        <v>34149.599999999999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837*12*2.61</f>
        <v>26214.84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837*12*4.64</f>
        <v>46604.159999999996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837*12*0.1</f>
        <v>1004.4000000000001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837*12*0.43</f>
        <v>4318.92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227609.48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32067.520000000004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264536.10000000003</v>
      </c>
    </row>
    <row r="6" spans="1:6">
      <c r="A6" s="5"/>
      <c r="B6" s="7" t="s">
        <v>4</v>
      </c>
      <c r="C6" s="13" t="s">
        <v>24</v>
      </c>
      <c r="D6" s="12">
        <f>824.1*12*20.67</f>
        <v>204409.76400000002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824.1*6.08*12</f>
        <v>60126.336000000003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824.1*12*2.38</f>
        <v>23536.296000000002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824.1*12*4.82</f>
        <v>47665.944000000003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824.1*12*2.29</f>
        <v>22646.268000000004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824.1*12*3.4</f>
        <v>33623.279999999999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824.1*12*2.61</f>
        <v>25810.812000000002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824.1*12*4.64</f>
        <v>45885.887999999999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824.1*12*0.1</f>
        <v>988.92000000000007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824.1*12*0.43</f>
        <v>4252.3560000000007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224409.764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31126.336000000003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275610.60000000003</v>
      </c>
    </row>
    <row r="6" spans="1:6">
      <c r="A6" s="5"/>
      <c r="B6" s="7" t="s">
        <v>4</v>
      </c>
      <c r="C6" s="13" t="s">
        <v>24</v>
      </c>
      <c r="D6" s="12">
        <f>858.6*12*20.67</f>
        <v>212967.14400000003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858.6*6.08*12</f>
        <v>62643.456000000006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858.6*12*2.38</f>
        <v>24521.616000000002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858.6*12*4.82</f>
        <v>49661.424000000006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858.6*12*2.29</f>
        <v>23594.328000000001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858.6*12*3.4</f>
        <v>35030.880000000005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858.6*12*2.61</f>
        <v>26891.351999999999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858.6*12*4.64</f>
        <v>47806.847999999998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858.6*12*0.1</f>
        <v>1030.3200000000002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858.6*12*0.43</f>
        <v>4430.3760000000002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232967.144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33643.456000000006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209709.88800000004</v>
      </c>
    </row>
    <row r="6" spans="1:6">
      <c r="A6" s="5"/>
      <c r="B6" s="7" t="s">
        <v>4</v>
      </c>
      <c r="C6" s="13" t="s">
        <v>24</v>
      </c>
      <c r="D6" s="12">
        <f>830.6*12*16.39</f>
        <v>163362.40800000002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830.6*4.65*12</f>
        <v>46347.48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830.6*12*0.003</f>
        <v>29.901600000000002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830.6*12*2.54</f>
        <v>25316.688000000002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830.6*12*2.11</f>
        <v>21030.792000000001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830.6*12*2.6</f>
        <v>25914.720000000001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830.6*12*1.92</f>
        <v>19137.024000000001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830.6*12*2.34</f>
        <v>23323.248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830.6*12*1.36</f>
        <v>13555.392000000002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830.6*12*3.03</f>
        <v>30200.616000000002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830.6*12*0.07</f>
        <v>697.70400000000006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830.6*12*0.42</f>
        <v>4186.2240000000002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183392.30960000004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-20029.901600000012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19200</v>
      </c>
    </row>
    <row r="29" spans="1:6">
      <c r="A29" s="5"/>
      <c r="B29" s="6" t="s">
        <v>15</v>
      </c>
      <c r="C29" s="13" t="s">
        <v>24</v>
      </c>
      <c r="D29" s="11">
        <f>D7-D28</f>
        <v>27147.480000000003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263541</v>
      </c>
    </row>
    <row r="6" spans="1:6">
      <c r="A6" s="5"/>
      <c r="B6" s="7" t="s">
        <v>4</v>
      </c>
      <c r="C6" s="13" t="s">
        <v>24</v>
      </c>
      <c r="D6" s="12">
        <f>821*12*20.67</f>
        <v>203640.84000000003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821*6.08*12</f>
        <v>59900.160000000003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821*12*2.38</f>
        <v>23447.759999999998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821*12*4.82</f>
        <v>47486.64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821*12*2.29</f>
        <v>22561.08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821*12*3.4</f>
        <v>33496.799999999996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821*12*2.61</f>
        <v>25713.719999999998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821*12*4.64</f>
        <v>45713.279999999999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821*12*0.1</f>
        <v>985.2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821*12*0.43</f>
        <v>4236.3599999999997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223640.84000000003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30900.160000000003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131754.45000000001</v>
      </c>
    </row>
    <row r="6" spans="1:6">
      <c r="A6" s="5"/>
      <c r="B6" s="7" t="s">
        <v>4</v>
      </c>
      <c r="C6" s="13" t="s">
        <v>24</v>
      </c>
      <c r="D6" s="12">
        <f>820.9*6*20.67</f>
        <v>101808.018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820.9*6.08*6</f>
        <v>29946.432000000001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820.9*6*2.38</f>
        <v>11722.451999999999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820.9*6*4.82</f>
        <v>23740.428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820.9*6*2.29</f>
        <v>11279.165999999999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820.9*6*3.4</f>
        <v>16746.359999999997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820.9*6*2.61</f>
        <v>12855.293999999998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820.9*6*4.64</f>
        <v>22853.855999999996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820.9*6*0.1</f>
        <v>492.53999999999996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820.9*6*0.43</f>
        <v>2117.922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121808.018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946.4320000000007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132958.20000000001</v>
      </c>
    </row>
    <row r="6" spans="1:6">
      <c r="A6" s="5"/>
      <c r="B6" s="7" t="s">
        <v>4</v>
      </c>
      <c r="C6" s="13" t="s">
        <v>24</v>
      </c>
      <c r="D6" s="12">
        <f>828.4*6*20.67</f>
        <v>102738.16800000001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828.4*6.08*6</f>
        <v>30220.031999999999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828.4*6*2.38</f>
        <v>11829.551999999998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828.4*6*4.82</f>
        <v>23957.328000000001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828.4*6*2.29</f>
        <v>11382.215999999999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828.4*6*3.4</f>
        <v>16899.359999999997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828.4*6*2.61</f>
        <v>12972.743999999999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828.4*6*4.64</f>
        <v>23062.655999999995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828.4*6*0.1</f>
        <v>497.03999999999996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828.4*6*0.43</f>
        <v>2137.2719999999999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122738.16799999998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1220.0319999999992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275674.8</v>
      </c>
    </row>
    <row r="6" spans="1:6">
      <c r="A6" s="5"/>
      <c r="B6" s="7" t="s">
        <v>4</v>
      </c>
      <c r="C6" s="13" t="s">
        <v>24</v>
      </c>
      <c r="D6" s="12">
        <f>858.8*12*20.67</f>
        <v>213016.75199999998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858.8*6.08*12</f>
        <v>62658.047999999995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858.8*12*2.38</f>
        <v>24527.327999999994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858.8*12*4.82</f>
        <v>49672.991999999998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858.8*12*2.29</f>
        <v>23599.823999999997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858.8*12*3.4</f>
        <v>35039.039999999994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858.8*12*2.61</f>
        <v>26897.615999999995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858.8*12*4.64</f>
        <v>47817.983999999989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858.8*12*0.1</f>
        <v>1030.56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858.8*12*0.43</f>
        <v>4431.4079999999994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233016.75199999998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33658.047999999995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266494.20000000007</v>
      </c>
    </row>
    <row r="6" spans="1:6">
      <c r="A6" s="5"/>
      <c r="B6" s="7" t="s">
        <v>4</v>
      </c>
      <c r="C6" s="13" t="s">
        <v>24</v>
      </c>
      <c r="D6" s="12">
        <f>830.2*12*20.67</f>
        <v>205922.80800000005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830.2*6.08*12</f>
        <v>60571.392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830.2*12*2.38</f>
        <v>23710.512000000002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830.2*12*4.82</f>
        <v>48018.768000000011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830.2*12*2.29</f>
        <v>22813.896000000004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830.2*12*3.4</f>
        <v>33872.160000000003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830.2*12*2.61</f>
        <v>26001.864000000001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830.2*12*4.64</f>
        <v>46225.536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830.2*12*0.1</f>
        <v>996.24000000000024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830.2*12*0.43</f>
        <v>4283.8320000000003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225922.80800000002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31571.392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67602.600000000006</v>
      </c>
    </row>
    <row r="6" spans="1:6">
      <c r="A6" s="5"/>
      <c r="B6" s="7" t="s">
        <v>4</v>
      </c>
      <c r="C6" s="13" t="s">
        <v>24</v>
      </c>
      <c r="D6" s="12">
        <f>421.2*6*20.67</f>
        <v>52237.224000000002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421.2*6.08*6</f>
        <v>15365.376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421.2*6*2.38</f>
        <v>6014.735999999999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421.2*6*4.82</f>
        <v>12181.103999999999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421.2*6*2.29</f>
        <v>5787.2879999999996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421.2*6*3.4</f>
        <v>8592.48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421.2*6*2.61</f>
        <v>6595.9919999999993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421.2*6*4.64</f>
        <v>11726.207999999999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421.2*6*0.1</f>
        <v>252.72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421.2*6*0.43</f>
        <v>1086.6959999999999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72237.224000000002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-13634.624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266622.60000000003</v>
      </c>
    </row>
    <row r="6" spans="1:6">
      <c r="A6" s="5"/>
      <c r="B6" s="7" t="s">
        <v>4</v>
      </c>
      <c r="C6" s="13" t="s">
        <v>24</v>
      </c>
      <c r="D6" s="12">
        <f>830.6*12*20.67</f>
        <v>206022.02400000003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830.6*6.08*12</f>
        <v>60600.576000000001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830.6*12*2.38</f>
        <v>23721.936000000002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830.6*12*4.82</f>
        <v>48041.90400000001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830.6*12*2.29</f>
        <v>22824.888000000003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830.6*12*3.4</f>
        <v>33888.480000000003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830.6*12*2.61</f>
        <v>26014.392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830.6*12*4.64</f>
        <v>46247.807999999997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830.6*12*0.1</f>
        <v>996.72000000000014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830.6*12*0.43</f>
        <v>4285.8960000000006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226022.02400000003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31600.576000000001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67602.600000000006</v>
      </c>
    </row>
    <row r="6" spans="1:6">
      <c r="A6" s="5"/>
      <c r="B6" s="7" t="s">
        <v>4</v>
      </c>
      <c r="C6" s="13" t="s">
        <v>24</v>
      </c>
      <c r="D6" s="12">
        <f>421.2*6*20.67</f>
        <v>52237.224000000002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421.2*6.08*6</f>
        <v>15365.376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421.2*6*2.38</f>
        <v>6014.735999999999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421.2*6*4.82</f>
        <v>12181.103999999999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421.2*6*2.29</f>
        <v>5787.2879999999996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421.2*6*3.4</f>
        <v>8592.48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421.2*6*2.61</f>
        <v>6595.9919999999993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421.2*6*4.64</f>
        <v>11726.207999999999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421.2*6*0.1</f>
        <v>252.72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421.2*6*0.43</f>
        <v>1086.6959999999999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72237.224000000002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-13634.624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132701.4</v>
      </c>
    </row>
    <row r="6" spans="1:6">
      <c r="A6" s="5"/>
      <c r="B6" s="7" t="s">
        <v>4</v>
      </c>
      <c r="C6" s="13" t="s">
        <v>24</v>
      </c>
      <c r="D6" s="12">
        <f>826.8*6*20.67</f>
        <v>102539.73599999999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826.8*6.08*6</f>
        <v>30161.663999999997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826.8*6*2.38</f>
        <v>11806.703999999998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826.8*6*4.82</f>
        <v>23911.055999999997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826.8*6*2.29</f>
        <v>11360.231999999998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826.8*6*3.4</f>
        <v>16866.719999999998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826.8*6*2.61</f>
        <v>12947.687999999998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826.8*6*4.64</f>
        <v>23018.111999999994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826.8*6*0.1</f>
        <v>496.07999999999993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826.8*6*0.43</f>
        <v>2133.1439999999998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122539.73599999999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1161.663999999997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200544.75000000003</v>
      </c>
    </row>
    <row r="6" spans="1:6">
      <c r="A6" s="5"/>
      <c r="B6" s="7" t="s">
        <v>4</v>
      </c>
      <c r="C6" s="13" t="s">
        <v>24</v>
      </c>
      <c r="D6" s="12">
        <f>1249.5*6*20.67</f>
        <v>154962.99000000002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1249.5*6.08*6</f>
        <v>45581.760000000002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1249.5*6*2.38</f>
        <v>17842.86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1249.5*6*4.82</f>
        <v>36135.54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1249.5*6*2.29</f>
        <v>17168.13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1249.5*6*3.4</f>
        <v>25489.8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1249.5*6*2.61</f>
        <v>19567.169999999998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1249.5*6*4.64</f>
        <v>34786.079999999994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1249.5*6*0.1</f>
        <v>749.7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1249.5*6*0.43</f>
        <v>3223.71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174962.99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16581.760000000002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220162.56</v>
      </c>
    </row>
    <row r="6" spans="1:6">
      <c r="A6" s="5"/>
      <c r="B6" s="7" t="s">
        <v>4</v>
      </c>
      <c r="C6" s="13" t="s">
        <v>24</v>
      </c>
      <c r="D6" s="12">
        <f>872*12*16.39</f>
        <v>171504.96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872*4.65*12</f>
        <v>48657.600000000006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18" t="s">
        <v>24</v>
      </c>
      <c r="D10" s="20">
        <f>872*12*0.003</f>
        <v>31.391999999999999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872*12*2.54</f>
        <v>26578.560000000001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872*12*2.11</f>
        <v>22079.039999999997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872*12*2.6</f>
        <v>27206.400000000001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872*12*1.92</f>
        <v>20090.88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872*12*2.34</f>
        <v>24485.759999999998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872*12*1.36</f>
        <v>14231.04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872*12*3.03</f>
        <v>31705.919999999998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872*12*0.07</f>
        <v>732.48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872*12*0.42</f>
        <v>4394.88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191536.35200000001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-20031.392000000022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19200</v>
      </c>
    </row>
    <row r="29" spans="1:6">
      <c r="A29" s="5"/>
      <c r="B29" s="6" t="s">
        <v>15</v>
      </c>
      <c r="C29" s="13" t="s">
        <v>24</v>
      </c>
      <c r="D29" s="11">
        <f>D7-D28</f>
        <v>29457.600000000006</v>
      </c>
    </row>
  </sheetData>
  <mergeCells count="3">
    <mergeCell ref="B23:D23"/>
    <mergeCell ref="A2:D2"/>
    <mergeCell ref="B9:D9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131850.75</v>
      </c>
    </row>
    <row r="6" spans="1:6">
      <c r="A6" s="5"/>
      <c r="B6" s="7" t="s">
        <v>4</v>
      </c>
      <c r="C6" s="13" t="s">
        <v>24</v>
      </c>
      <c r="D6" s="12">
        <f>821.5*6*20.67</f>
        <v>101882.43000000001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821.5*6.08*6</f>
        <v>29968.32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821.5*6*2.38</f>
        <v>11731.019999999999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821.5*6*4.82</f>
        <v>23757.780000000002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821.5*6*2.29</f>
        <v>11287.41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821.5*6*3.4</f>
        <v>16758.599999999999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821.5*6*2.61</f>
        <v>12864.689999999999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821.5*6*4.64</f>
        <v>22870.559999999998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821.5*6*0.1</f>
        <v>492.90000000000003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821.5*6*0.43</f>
        <v>2119.4699999999998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121882.43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-19999.999999999985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968.31999999999971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132701.4</v>
      </c>
    </row>
    <row r="6" spans="1:6">
      <c r="A6" s="5"/>
      <c r="B6" s="7" t="s">
        <v>4</v>
      </c>
      <c r="C6" s="13" t="s">
        <v>24</v>
      </c>
      <c r="D6" s="12">
        <f>826.8*6*20.67</f>
        <v>102539.73599999999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826.8*6.08*6</f>
        <v>30161.663999999997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826.8*6*2.38</f>
        <v>11806.703999999998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826.8*6*4.82</f>
        <v>23911.055999999997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826.8*6*2.29</f>
        <v>11360.231999999998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826.8*6*3.4</f>
        <v>16866.719999999998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826.8*6*2.61</f>
        <v>12947.687999999998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826.8*6*4.64</f>
        <v>23018.111999999994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826.8*6*0.1</f>
        <v>496.07999999999993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826.8*6*0.43</f>
        <v>2133.1439999999998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122539.73599999999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1161.663999999997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D27" sqref="D27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132123.60000000003</v>
      </c>
    </row>
    <row r="6" spans="1:6">
      <c r="A6" s="5"/>
      <c r="B6" s="7" t="s">
        <v>4</v>
      </c>
      <c r="C6" s="13" t="s">
        <v>24</v>
      </c>
      <c r="D6" s="12">
        <f>823.2*6*20.67</f>
        <v>102093.26400000002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823.2*6.08*6</f>
        <v>30030.336000000003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823.2*6*2.38</f>
        <v>11755.296000000002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823.2*6*4.82</f>
        <v>23806.944000000003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823.2*6*2.29</f>
        <v>11310.768000000002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823.2*6*3.4</f>
        <v>16793.280000000002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823.2*6*2.61</f>
        <v>12891.312000000002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823.2*6*4.64</f>
        <v>22917.888000000003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823.2*6*0.1</f>
        <v>493.92000000000007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823.2*6*0.43</f>
        <v>2123.8560000000002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122093.26400000001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-19999.999999999985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1030.336000000003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G23" sqref="G23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137644.80000000002</v>
      </c>
    </row>
    <row r="6" spans="1:6">
      <c r="A6" s="5"/>
      <c r="B6" s="7" t="s">
        <v>4</v>
      </c>
      <c r="C6" s="13" t="s">
        <v>24</v>
      </c>
      <c r="D6" s="12">
        <f>857.6*6*20.67</f>
        <v>106359.55200000001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857.6*6.08*6</f>
        <v>31285.248000000003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857.6*6*2.38</f>
        <v>12246.528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857.6*6*4.82</f>
        <v>24801.792000000005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857.6*6*2.29</f>
        <v>11783.424000000001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857.6*6*3.4</f>
        <v>17495.04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857.6*6*2.61</f>
        <v>13430.016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857.6*6*4.64</f>
        <v>23875.583999999999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857.6*6*0.1</f>
        <v>514.56000000000006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857.6*6*0.43</f>
        <v>2212.6080000000002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126359.55200000001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2285.2480000000032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workbookViewId="0">
      <selection activeCell="B6" sqref="B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132701.4</v>
      </c>
    </row>
    <row r="6" spans="1:6">
      <c r="A6" s="5"/>
      <c r="B6" s="7" t="s">
        <v>4</v>
      </c>
      <c r="C6" s="13" t="s">
        <v>24</v>
      </c>
      <c r="D6" s="12">
        <f>826.8*6*20.67</f>
        <v>102539.73599999999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826.8*6.08*6</f>
        <v>30161.663999999997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826.8*6*2.38</f>
        <v>11806.703999999998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826.8*6*4.82</f>
        <v>23911.055999999997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826.8*6*2.29</f>
        <v>11360.231999999998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826.8*6*3.4</f>
        <v>16866.719999999998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826.8*6*2.61</f>
        <v>12947.687999999998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826.8*6*4.64</f>
        <v>23018.111999999994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826.8*6*0.1</f>
        <v>496.07999999999993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826.8*6*0.43</f>
        <v>2133.1439999999998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122539.73599999999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37" t="s">
        <v>39</v>
      </c>
      <c r="C23" s="13" t="s">
        <v>24</v>
      </c>
      <c r="D23" s="12">
        <v>15000</v>
      </c>
    </row>
    <row r="24" spans="1:6">
      <c r="A24" s="5"/>
      <c r="B24" s="37" t="s">
        <v>40</v>
      </c>
      <c r="C24" s="13" t="s">
        <v>24</v>
      </c>
      <c r="D24" s="12">
        <v>14000</v>
      </c>
    </row>
    <row r="25" spans="1:6">
      <c r="B25" s="23" t="s">
        <v>35</v>
      </c>
      <c r="C25" s="13" t="s">
        <v>24</v>
      </c>
      <c r="D25" s="22">
        <f>D24+D23</f>
        <v>29000</v>
      </c>
    </row>
    <row r="26" spans="1:6">
      <c r="B26" s="6" t="s">
        <v>15</v>
      </c>
      <c r="C26" s="13" t="s">
        <v>24</v>
      </c>
      <c r="D26" s="34">
        <f>D7-D25</f>
        <v>1161.663999999997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sqref="A1:XFD1048576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311299.29600000003</v>
      </c>
    </row>
    <row r="6" spans="1:6">
      <c r="A6" s="5"/>
      <c r="B6" s="7" t="s">
        <v>4</v>
      </c>
      <c r="C6" s="13" t="s">
        <v>24</v>
      </c>
      <c r="D6" s="12">
        <f>1281.7*12*20.24</f>
        <v>311299.29600000003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2">
        <f>1281.7*12*4.56</f>
        <v>70134.623999999996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2">
        <f>1281.7*12*5.83</f>
        <v>89667.732000000004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2">
        <f>1281.7*12*9.85</f>
        <v>151496.94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311299.29600000003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activeCell="H23" sqref="H23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312027.93599999999</v>
      </c>
    </row>
    <row r="6" spans="1:6">
      <c r="A6" s="5"/>
      <c r="B6" s="7" t="s">
        <v>4</v>
      </c>
      <c r="C6" s="13" t="s">
        <v>24</v>
      </c>
      <c r="D6" s="12">
        <f>1284.7*12*20.24</f>
        <v>312027.93599999999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2">
        <f>1284.7*12*4.56</f>
        <v>70298.784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2">
        <f>1284.7*12*5.83</f>
        <v>89877.612000000008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2">
        <f>1284.7*12*9.85</f>
        <v>151851.54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312027.93599999999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activeCell="D24" sqref="D24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311809.34399999992</v>
      </c>
    </row>
    <row r="6" spans="1:6">
      <c r="A6" s="5"/>
      <c r="B6" s="7" t="s">
        <v>4</v>
      </c>
      <c r="C6" s="13" t="s">
        <v>24</v>
      </c>
      <c r="D6" s="12">
        <f>1283.8*12*20.24</f>
        <v>311809.34399999992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2">
        <f>1283.8*12*4.56</f>
        <v>70249.535999999993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2">
        <f>1283.8*12*5.83</f>
        <v>89814.647999999986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2">
        <f>1283.8*12*9.85</f>
        <v>151745.15999999997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311809.34399999992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activeCell="D12" sqref="D12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311323.58399999997</v>
      </c>
    </row>
    <row r="6" spans="1:6">
      <c r="A6" s="5"/>
      <c r="B6" s="7" t="s">
        <v>4</v>
      </c>
      <c r="C6" s="13" t="s">
        <v>24</v>
      </c>
      <c r="D6" s="12">
        <f>1281.8*12*20.24</f>
        <v>311323.58399999997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2">
        <f>1281.8*12*4.56</f>
        <v>70140.09599999999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2">
        <f>1281.8*12*5.83</f>
        <v>89674.727999999988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2">
        <f>1281.8*12*9.85</f>
        <v>151508.75999999998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311323.58399999992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activeCell="D10" sqref="D10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310206.33600000001</v>
      </c>
    </row>
    <row r="6" spans="1:6">
      <c r="A6" s="5"/>
      <c r="B6" s="7" t="s">
        <v>4</v>
      </c>
      <c r="C6" s="13" t="s">
        <v>24</v>
      </c>
      <c r="D6" s="12">
        <f>1277.2*12*20.24</f>
        <v>310206.33600000001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2">
        <f>1277.2*12*4.56</f>
        <v>69888.384000000005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2">
        <f>1277.2*12*5.83</f>
        <v>89352.912000000011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2">
        <f>1277.2*12*9.85</f>
        <v>150965.04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310206.33600000001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>
      <selection activeCell="B26" sqref="B2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D6+D7</f>
        <v>200368.12800000003</v>
      </c>
    </row>
    <row r="6" spans="1:6">
      <c r="A6" s="5"/>
      <c r="B6" s="7" t="s">
        <v>4</v>
      </c>
      <c r="C6" s="13" t="s">
        <v>24</v>
      </c>
      <c r="D6" s="12">
        <f>793.6*12*16.39</f>
        <v>156085.24800000002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793.6*4.65*12</f>
        <v>44282.880000000005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17" t="s">
        <v>26</v>
      </c>
      <c r="C10" s="23" t="s">
        <v>24</v>
      </c>
      <c r="D10" s="20">
        <f>793.6*12*0.003</f>
        <v>28.569600000000001</v>
      </c>
      <c r="F10" s="19">
        <v>1.99</v>
      </c>
    </row>
    <row r="11" spans="1:6">
      <c r="A11" s="5"/>
      <c r="B11" s="8" t="s">
        <v>7</v>
      </c>
      <c r="C11" s="13" t="s">
        <v>24</v>
      </c>
      <c r="D11" s="21">
        <f>793.6*12*2.54</f>
        <v>24188.928000000004</v>
      </c>
      <c r="F11" s="19">
        <v>15.21</v>
      </c>
    </row>
    <row r="12" spans="1:6">
      <c r="A12" s="5"/>
      <c r="B12" s="8" t="s">
        <v>8</v>
      </c>
      <c r="C12" s="13" t="s">
        <v>24</v>
      </c>
      <c r="D12" s="21">
        <f>793.6*12*2.11</f>
        <v>20093.952000000001</v>
      </c>
      <c r="F12" s="19">
        <v>12.62</v>
      </c>
    </row>
    <row r="13" spans="1:6">
      <c r="A13" s="5"/>
      <c r="B13" s="8" t="s">
        <v>25</v>
      </c>
      <c r="C13" s="13" t="s">
        <v>24</v>
      </c>
      <c r="D13" s="21">
        <v>20000</v>
      </c>
      <c r="F13" s="19"/>
    </row>
    <row r="14" spans="1:6">
      <c r="A14" s="5"/>
      <c r="B14" s="8" t="s">
        <v>9</v>
      </c>
      <c r="C14" s="13" t="s">
        <v>24</v>
      </c>
      <c r="D14" s="21">
        <f>793.6*12*2.6</f>
        <v>24760.320000000003</v>
      </c>
      <c r="F14" s="19">
        <v>15.55</v>
      </c>
    </row>
    <row r="15" spans="1:6">
      <c r="A15" s="5"/>
      <c r="B15" s="8" t="s">
        <v>10</v>
      </c>
      <c r="C15" s="13" t="s">
        <v>24</v>
      </c>
      <c r="D15" s="21">
        <f>793.6*12*1.92</f>
        <v>18284.544000000002</v>
      </c>
      <c r="F15" s="19">
        <v>11.46</v>
      </c>
    </row>
    <row r="16" spans="1:6">
      <c r="A16" s="5"/>
      <c r="B16" s="8" t="s">
        <v>11</v>
      </c>
      <c r="C16" s="13" t="s">
        <v>24</v>
      </c>
      <c r="D16" s="21">
        <f>793.6*12*2.34</f>
        <v>22284.288</v>
      </c>
      <c r="F16" s="19">
        <v>13.98</v>
      </c>
    </row>
    <row r="17" spans="1:6">
      <c r="A17" s="5"/>
      <c r="B17" s="8" t="s">
        <v>12</v>
      </c>
      <c r="C17" s="13" t="s">
        <v>24</v>
      </c>
      <c r="D17" s="21">
        <f>793.6*12*1.36</f>
        <v>12951.552000000001</v>
      </c>
      <c r="F17" s="19">
        <v>8.1199999999999992</v>
      </c>
    </row>
    <row r="18" spans="1:6">
      <c r="A18" s="5"/>
      <c r="B18" s="8" t="s">
        <v>13</v>
      </c>
      <c r="C18" s="13" t="s">
        <v>24</v>
      </c>
      <c r="D18" s="21">
        <f>793.6*12*3.03</f>
        <v>28855.296000000002</v>
      </c>
      <c r="F18" s="19">
        <v>18.14</v>
      </c>
    </row>
    <row r="19" spans="1:6">
      <c r="A19" s="5"/>
      <c r="B19" s="8" t="s">
        <v>21</v>
      </c>
      <c r="C19" s="13" t="s">
        <v>24</v>
      </c>
      <c r="D19" s="21">
        <f>793.6*12*0.07</f>
        <v>666.62400000000014</v>
      </c>
      <c r="E19" s="16"/>
      <c r="F19" s="19">
        <v>0.41</v>
      </c>
    </row>
    <row r="20" spans="1:6">
      <c r="A20" s="5"/>
      <c r="B20" s="8" t="s">
        <v>23</v>
      </c>
      <c r="C20" s="13" t="s">
        <v>24</v>
      </c>
      <c r="D20" s="21">
        <f>793.6*12*0.42</f>
        <v>3999.7440000000001</v>
      </c>
      <c r="F20" s="19">
        <v>2.52</v>
      </c>
    </row>
    <row r="21" spans="1:6">
      <c r="A21" s="5"/>
      <c r="B21" s="9" t="s">
        <v>14</v>
      </c>
      <c r="C21" s="13" t="s">
        <v>24</v>
      </c>
      <c r="D21" s="11">
        <f>D20+D19+D18+D17+D16+D15+D14+D13+D12+D11+D10</f>
        <v>176113.81760000001</v>
      </c>
      <c r="E21" s="16"/>
      <c r="F21" s="19">
        <f>F20+F19+F18+F17+F16+F15+F14+F13+F12+F11+F10</f>
        <v>100.00000000000001</v>
      </c>
    </row>
    <row r="22" spans="1:6">
      <c r="A22" s="5"/>
      <c r="B22" s="6" t="s">
        <v>15</v>
      </c>
      <c r="C22" s="13" t="s">
        <v>24</v>
      </c>
      <c r="D22" s="11">
        <f>D6-D21</f>
        <v>-20028.569599999988</v>
      </c>
    </row>
    <row r="23" spans="1:6">
      <c r="A23" s="5"/>
      <c r="B23" s="25" t="s">
        <v>16</v>
      </c>
      <c r="C23" s="26"/>
      <c r="D23" s="27"/>
    </row>
    <row r="24" spans="1:6">
      <c r="A24" s="5"/>
      <c r="B24" s="6" t="s">
        <v>17</v>
      </c>
      <c r="C24" s="13" t="s">
        <v>24</v>
      </c>
      <c r="D24" s="11"/>
    </row>
    <row r="25" spans="1:6">
      <c r="A25" s="5"/>
      <c r="B25" s="37" t="s">
        <v>18</v>
      </c>
      <c r="C25" s="13" t="s">
        <v>24</v>
      </c>
      <c r="D25" s="12">
        <v>1200</v>
      </c>
    </row>
    <row r="26" spans="1:6">
      <c r="A26" s="5"/>
      <c r="B26" s="37" t="s">
        <v>42</v>
      </c>
      <c r="C26" s="13" t="s">
        <v>24</v>
      </c>
      <c r="D26" s="12">
        <v>14000</v>
      </c>
    </row>
    <row r="27" spans="1:6">
      <c r="A27" s="5"/>
      <c r="B27" s="37" t="s">
        <v>34</v>
      </c>
      <c r="C27" s="13" t="s">
        <v>24</v>
      </c>
      <c r="D27" s="12">
        <v>4000</v>
      </c>
    </row>
    <row r="28" spans="1:6">
      <c r="A28" s="5"/>
      <c r="B28" s="23" t="s">
        <v>35</v>
      </c>
      <c r="C28" s="13" t="s">
        <v>24</v>
      </c>
      <c r="D28" s="22">
        <f>D27+D26+D25</f>
        <v>19200</v>
      </c>
    </row>
    <row r="29" spans="1:6">
      <c r="A29" s="5"/>
      <c r="B29" s="6" t="s">
        <v>15</v>
      </c>
      <c r="C29" s="13" t="s">
        <v>24</v>
      </c>
      <c r="D29" s="11">
        <f>D7-D28</f>
        <v>25082.880000000005</v>
      </c>
    </row>
  </sheetData>
  <mergeCells count="3">
    <mergeCell ref="A2:D2"/>
    <mergeCell ref="B9:D9"/>
    <mergeCell ref="B23:D2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activeCell="G18" sqref="G18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311809.34399999992</v>
      </c>
    </row>
    <row r="6" spans="1:6">
      <c r="A6" s="5"/>
      <c r="B6" s="7" t="s">
        <v>4</v>
      </c>
      <c r="C6" s="13" t="s">
        <v>24</v>
      </c>
      <c r="D6" s="12">
        <f>1283.8*12*20.24</f>
        <v>311809.34399999992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2">
        <f>1283.8*12*4.56</f>
        <v>70249.535999999993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2">
        <f>1283.8*12*5.83</f>
        <v>89814.647999999986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2">
        <f>1283.8*12*9.85</f>
        <v>151745.15999999997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311809.34399999992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activeCell="B21" sqref="B21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311323.58399999997</v>
      </c>
    </row>
    <row r="6" spans="1:6">
      <c r="A6" s="5"/>
      <c r="B6" s="7" t="s">
        <v>4</v>
      </c>
      <c r="C6" s="13" t="s">
        <v>24</v>
      </c>
      <c r="D6" s="12">
        <f>1281.8*12*20.24</f>
        <v>311323.58399999997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32" t="s">
        <v>24</v>
      </c>
      <c r="D9" s="32">
        <f>1281.8*12*4.56</f>
        <v>70140.09599999999</v>
      </c>
      <c r="F9" s="19">
        <v>12.62</v>
      </c>
    </row>
    <row r="10" spans="1:6" ht="34.799999999999997" customHeight="1">
      <c r="A10" s="29"/>
      <c r="B10" s="30" t="s">
        <v>31</v>
      </c>
      <c r="C10" s="32" t="s">
        <v>24</v>
      </c>
      <c r="D10" s="32">
        <f>1281.8*12*5.83</f>
        <v>89674.727999999988</v>
      </c>
      <c r="E10" s="28"/>
      <c r="F10" s="19"/>
    </row>
    <row r="11" spans="1:6" ht="22.8" customHeight="1">
      <c r="A11" s="29"/>
      <c r="B11" s="30" t="s">
        <v>32</v>
      </c>
      <c r="C11" s="32" t="s">
        <v>24</v>
      </c>
      <c r="D11" s="32">
        <f>1281.8*12*9.85</f>
        <v>151508.75999999998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311323.58399999992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sqref="A1:XFD1048576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311347.87199999997</v>
      </c>
    </row>
    <row r="6" spans="1:6">
      <c r="A6" s="5"/>
      <c r="B6" s="7" t="s">
        <v>4</v>
      </c>
      <c r="C6" s="13" t="s">
        <v>24</v>
      </c>
      <c r="D6" s="12">
        <f>1281.9*12*20.24</f>
        <v>311347.87199999997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2">
        <f>1281.9*12*4.56</f>
        <v>70145.567999999999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2">
        <f>1281.9*12*5.83</f>
        <v>89681.724000000002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2">
        <f>1281.9*12*9.85</f>
        <v>151520.58000000002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311347.87199999997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activeCell="D9" sqref="D9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311347.87199999997</v>
      </c>
    </row>
    <row r="6" spans="1:6">
      <c r="A6" s="5"/>
      <c r="B6" s="7" t="s">
        <v>4</v>
      </c>
      <c r="C6" s="13" t="s">
        <v>24</v>
      </c>
      <c r="D6" s="12">
        <f>1281.9*12*20.24</f>
        <v>311347.87199999997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2">
        <f>1281.9*12*4.56</f>
        <v>70145.567999999999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2">
        <f>1281.9*12*5.83</f>
        <v>89681.724000000002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2">
        <f>1281.9*12*9.85</f>
        <v>151520.58000000002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311347.87199999997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workbookViewId="0">
      <selection activeCell="D25" sqref="D25"/>
    </sheetView>
  </sheetViews>
  <sheetFormatPr defaultRowHeight="12"/>
  <cols>
    <col min="1" max="1" width="2.88671875" style="3" customWidth="1"/>
    <col min="2" max="2" width="50.6640625" style="3" customWidth="1"/>
    <col min="3" max="3" width="10" style="14" customWidth="1"/>
    <col min="4" max="4" width="13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23.4" customHeight="1">
      <c r="A2" s="24" t="s">
        <v>27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28</v>
      </c>
      <c r="C5" s="13" t="s">
        <v>24</v>
      </c>
      <c r="D5" s="11">
        <f>D6</f>
        <v>155758.94399999999</v>
      </c>
    </row>
    <row r="6" spans="1:6">
      <c r="A6" s="5"/>
      <c r="B6" s="7" t="s">
        <v>4</v>
      </c>
      <c r="C6" s="13" t="s">
        <v>24</v>
      </c>
      <c r="D6" s="12">
        <f>641.3*12*20.24</f>
        <v>155758.94399999999</v>
      </c>
      <c r="F6" s="19">
        <v>78.349999999999994</v>
      </c>
    </row>
    <row r="7" spans="1:6">
      <c r="A7" s="5"/>
      <c r="B7" s="5"/>
      <c r="C7" s="13"/>
      <c r="D7" s="13"/>
    </row>
    <row r="8" spans="1:6">
      <c r="A8" s="5"/>
      <c r="B8" s="25" t="s">
        <v>6</v>
      </c>
      <c r="C8" s="26"/>
      <c r="D8" s="27"/>
    </row>
    <row r="9" spans="1:6" ht="41.4">
      <c r="A9" s="29"/>
      <c r="B9" s="30" t="s">
        <v>30</v>
      </c>
      <c r="C9" s="23" t="s">
        <v>24</v>
      </c>
      <c r="D9" s="32">
        <f>641.3*12*4.56</f>
        <v>35091.935999999994</v>
      </c>
      <c r="F9" s="19">
        <v>12.62</v>
      </c>
    </row>
    <row r="10" spans="1:6" ht="34.799999999999997" customHeight="1">
      <c r="A10" s="29"/>
      <c r="B10" s="30" t="s">
        <v>31</v>
      </c>
      <c r="C10" s="13" t="s">
        <v>24</v>
      </c>
      <c r="D10" s="32">
        <f>641.3*12*5.83</f>
        <v>44865.347999999998</v>
      </c>
      <c r="E10" s="28"/>
      <c r="F10" s="19"/>
    </row>
    <row r="11" spans="1:6" ht="22.8" customHeight="1">
      <c r="A11" s="29"/>
      <c r="B11" s="30" t="s">
        <v>32</v>
      </c>
      <c r="C11" s="13" t="s">
        <v>24</v>
      </c>
      <c r="D11" s="32">
        <f>641.3*12*9.85</f>
        <v>75801.659999999989</v>
      </c>
      <c r="E11" s="28"/>
      <c r="F11" s="19">
        <v>15.55</v>
      </c>
    </row>
    <row r="12" spans="1:6">
      <c r="A12" s="5"/>
      <c r="B12" s="9" t="s">
        <v>14</v>
      </c>
      <c r="C12" s="13" t="s">
        <v>24</v>
      </c>
      <c r="D12" s="11">
        <f>D11+D10+D9</f>
        <v>155758.94399999999</v>
      </c>
      <c r="E12" s="16"/>
      <c r="F12" s="19" t="e">
        <f>#REF!+#REF!+#REF!+#REF!+#REF!+#REF!+F11+F10+F9+#REF!+#REF!</f>
        <v>#REF!</v>
      </c>
    </row>
    <row r="13" spans="1:6">
      <c r="A13" s="5"/>
      <c r="B13" s="6" t="s">
        <v>15</v>
      </c>
      <c r="C13" s="13" t="s">
        <v>24</v>
      </c>
      <c r="D13" s="11">
        <f>D6-D12</f>
        <v>0</v>
      </c>
    </row>
  </sheetData>
  <mergeCells count="2">
    <mergeCell ref="A2:D2"/>
    <mergeCell ref="B8:D8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workbookViewId="0">
      <selection activeCell="D6" sqref="D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22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20</v>
      </c>
      <c r="C5" s="13" t="s">
        <v>24</v>
      </c>
      <c r="D5" s="11">
        <f>D6+D7</f>
        <v>131963.10000000003</v>
      </c>
    </row>
    <row r="6" spans="1:6">
      <c r="A6" s="5"/>
      <c r="B6" s="7" t="s">
        <v>4</v>
      </c>
      <c r="C6" s="13" t="s">
        <v>24</v>
      </c>
      <c r="D6" s="12">
        <f>822.2*6*20.67</f>
        <v>101969.24400000002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822.2*6.08*6</f>
        <v>29993.856000000003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822.2*6*2.38</f>
        <v>11741.016000000001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822.2*6*4.82</f>
        <v>23778.024000000005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822.2*6*2.29</f>
        <v>11297.028000000002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822.2*6*3.4</f>
        <v>16772.88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822.2*6*2.61</f>
        <v>12875.652000000002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822.2*6*4.64</f>
        <v>22890.048000000003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822.2*6*0.1</f>
        <v>493.32000000000011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822.2*6*0.43</f>
        <v>2121.2760000000003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121969.24400000002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7" t="s">
        <v>19</v>
      </c>
      <c r="C23" s="13" t="s">
        <v>24</v>
      </c>
      <c r="D23" s="12">
        <v>15000</v>
      </c>
    </row>
    <row r="24" spans="1:6">
      <c r="A24" s="5"/>
      <c r="B24" s="6" t="s">
        <v>15</v>
      </c>
      <c r="C24" s="13" t="s">
        <v>24</v>
      </c>
      <c r="D24" s="11">
        <f>D7-D23</f>
        <v>14993.856000000003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workbookViewId="0">
      <selection activeCell="D7" sqref="D7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22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20</v>
      </c>
      <c r="C5" s="13" t="s">
        <v>24</v>
      </c>
      <c r="D5" s="11">
        <f>D6+D7</f>
        <v>131963.10000000003</v>
      </c>
    </row>
    <row r="6" spans="1:6">
      <c r="A6" s="5"/>
      <c r="B6" s="7" t="s">
        <v>4</v>
      </c>
      <c r="C6" s="13" t="s">
        <v>24</v>
      </c>
      <c r="D6" s="12">
        <f>822.2*6*20.67</f>
        <v>101969.24400000002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822.2*6.08*6</f>
        <v>29993.856000000003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822.2*6*2.38</f>
        <v>11741.016000000001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822.2*6*4.82</f>
        <v>23778.024000000005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822.2*6*2.29</f>
        <v>11297.028000000002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822.2*6*3.4</f>
        <v>16772.88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822.2*6*2.61</f>
        <v>12875.652000000002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822.2*6*4.64</f>
        <v>22890.048000000003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822.2*6*0.1</f>
        <v>493.32000000000011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822.2*6*0.43</f>
        <v>2121.2760000000003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121969.24400000002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-20000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7" t="s">
        <v>19</v>
      </c>
      <c r="C23" s="13" t="s">
        <v>24</v>
      </c>
      <c r="D23" s="12">
        <v>15000</v>
      </c>
    </row>
    <row r="24" spans="1:6">
      <c r="A24" s="5"/>
      <c r="B24" s="6" t="s">
        <v>15</v>
      </c>
      <c r="C24" s="13" t="s">
        <v>24</v>
      </c>
      <c r="D24" s="11">
        <f>D7-D23</f>
        <v>14993.856000000003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workbookViewId="0">
      <selection activeCell="D6" sqref="D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22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20</v>
      </c>
      <c r="C5" s="13" t="s">
        <v>24</v>
      </c>
      <c r="D5" s="11">
        <f>D6+D7</f>
        <v>270089.40000000002</v>
      </c>
    </row>
    <row r="6" spans="1:6">
      <c r="A6" s="5"/>
      <c r="B6" s="7" t="s">
        <v>4</v>
      </c>
      <c r="C6" s="13" t="s">
        <v>24</v>
      </c>
      <c r="D6" s="12">
        <f>841.4*12*20.67</f>
        <v>208700.856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841.4*6.08*12</f>
        <v>61388.543999999994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841.4*12*2.38</f>
        <v>24030.383999999998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841.4*12*4.82</f>
        <v>48666.576000000001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841.4*12*2.29</f>
        <v>23121.671999999999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841.4*12*3.4</f>
        <v>34329.119999999995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841.4*12*2.61</f>
        <v>26352.647999999997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841.4*12*4.64</f>
        <v>46849.151999999995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841.4*12*0.1</f>
        <v>1009.68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841.4*12*0.43</f>
        <v>4341.6239999999998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228700.85599999997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7" t="s">
        <v>19</v>
      </c>
      <c r="C23" s="13" t="s">
        <v>24</v>
      </c>
      <c r="D23" s="12">
        <v>15000</v>
      </c>
    </row>
    <row r="24" spans="1:6">
      <c r="A24" s="5"/>
      <c r="B24" s="6" t="s">
        <v>15</v>
      </c>
      <c r="C24" s="13" t="s">
        <v>24</v>
      </c>
      <c r="D24" s="11">
        <f>D7-D23</f>
        <v>46388.543999999994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workbookViewId="0">
      <selection activeCell="D6" sqref="D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22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20</v>
      </c>
      <c r="C5" s="13" t="s">
        <v>24</v>
      </c>
      <c r="D5" s="11">
        <f>D6+D7</f>
        <v>264504</v>
      </c>
    </row>
    <row r="6" spans="1:6">
      <c r="A6" s="5"/>
      <c r="B6" s="7" t="s">
        <v>4</v>
      </c>
      <c r="C6" s="13" t="s">
        <v>24</v>
      </c>
      <c r="D6" s="12">
        <f>824*12*20.67</f>
        <v>204384.96000000002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824*6.08*12</f>
        <v>60119.040000000001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824*12*2.38</f>
        <v>23533.439999999999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824*12*4.82</f>
        <v>47660.160000000003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824*12*2.29</f>
        <v>22643.52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824*12*3.4</f>
        <v>33619.199999999997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824*12*2.61</f>
        <v>25807.68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824*12*4.64</f>
        <v>45880.32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824*12*0.1</f>
        <v>988.80000000000007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824*12*0.43</f>
        <v>4251.84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224384.96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7" t="s">
        <v>19</v>
      </c>
      <c r="C23" s="13" t="s">
        <v>24</v>
      </c>
      <c r="D23" s="12">
        <v>15000</v>
      </c>
    </row>
    <row r="24" spans="1:6">
      <c r="A24" s="5"/>
      <c r="B24" s="6" t="s">
        <v>15</v>
      </c>
      <c r="C24" s="13" t="s">
        <v>24</v>
      </c>
      <c r="D24" s="11">
        <f>D7-D23</f>
        <v>45119.040000000001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workbookViewId="0">
      <selection activeCell="D6" sqref="D6"/>
    </sheetView>
  </sheetViews>
  <sheetFormatPr defaultRowHeight="12"/>
  <cols>
    <col min="1" max="1" width="2.88671875" style="3" customWidth="1"/>
    <col min="2" max="2" width="39.77734375" style="3" customWidth="1"/>
    <col min="3" max="3" width="10" style="14" customWidth="1"/>
    <col min="4" max="4" width="14.5546875" style="14" customWidth="1"/>
    <col min="5" max="5" width="8.88671875" style="3"/>
    <col min="6" max="6" width="8.6640625" style="3" hidden="1" customWidth="1"/>
    <col min="7" max="16384" width="8.88671875" style="3"/>
  </cols>
  <sheetData>
    <row r="1" spans="1:6">
      <c r="A1" s="1"/>
      <c r="B1" s="1"/>
      <c r="C1" s="10"/>
      <c r="D1" s="2"/>
    </row>
    <row r="2" spans="1:6" ht="30" customHeight="1">
      <c r="A2" s="24" t="s">
        <v>22</v>
      </c>
      <c r="B2" s="24"/>
      <c r="C2" s="24"/>
      <c r="D2" s="24"/>
    </row>
    <row r="3" spans="1:6">
      <c r="A3" s="1"/>
      <c r="B3" s="1"/>
      <c r="C3" s="10"/>
      <c r="D3" s="10"/>
    </row>
    <row r="4" spans="1:6">
      <c r="A4" s="4" t="s">
        <v>0</v>
      </c>
      <c r="B4" s="4" t="s">
        <v>1</v>
      </c>
      <c r="C4" s="4" t="s">
        <v>2</v>
      </c>
      <c r="D4" s="4" t="s">
        <v>3</v>
      </c>
    </row>
    <row r="5" spans="1:6">
      <c r="A5" s="5"/>
      <c r="B5" s="6" t="s">
        <v>20</v>
      </c>
      <c r="C5" s="13" t="s">
        <v>24</v>
      </c>
      <c r="D5" s="11">
        <f>D6+D7</f>
        <v>296636.10000000003</v>
      </c>
    </row>
    <row r="6" spans="1:6">
      <c r="A6" s="5"/>
      <c r="B6" s="7" t="s">
        <v>4</v>
      </c>
      <c r="C6" s="13" t="s">
        <v>24</v>
      </c>
      <c r="D6" s="12">
        <f>924.1*12*20.67</f>
        <v>229213.76400000002</v>
      </c>
      <c r="F6" s="19">
        <v>78.349999999999994</v>
      </c>
    </row>
    <row r="7" spans="1:6">
      <c r="A7" s="5"/>
      <c r="B7" s="7" t="s">
        <v>5</v>
      </c>
      <c r="C7" s="13" t="s">
        <v>24</v>
      </c>
      <c r="D7" s="12">
        <f>924.1*6.08*12</f>
        <v>67422.33600000001</v>
      </c>
      <c r="F7" s="19">
        <v>21.65</v>
      </c>
    </row>
    <row r="8" spans="1:6">
      <c r="A8" s="5"/>
      <c r="B8" s="5"/>
      <c r="C8" s="13"/>
      <c r="D8" s="13"/>
    </row>
    <row r="9" spans="1:6">
      <c r="A9" s="5"/>
      <c r="B9" s="25" t="s">
        <v>6</v>
      </c>
      <c r="C9" s="26"/>
      <c r="D9" s="27"/>
    </row>
    <row r="10" spans="1:6">
      <c r="A10" s="5"/>
      <c r="B10" s="8" t="s">
        <v>8</v>
      </c>
      <c r="C10" s="13" t="s">
        <v>24</v>
      </c>
      <c r="D10" s="21">
        <f>924.1*12*2.38</f>
        <v>26392.296000000002</v>
      </c>
      <c r="F10" s="19">
        <v>12.62</v>
      </c>
    </row>
    <row r="11" spans="1:6">
      <c r="A11" s="5"/>
      <c r="B11" s="8" t="s">
        <v>25</v>
      </c>
      <c r="C11" s="13" t="s">
        <v>24</v>
      </c>
      <c r="D11" s="21">
        <v>20000</v>
      </c>
      <c r="F11" s="19"/>
    </row>
    <row r="12" spans="1:6">
      <c r="A12" s="5"/>
      <c r="B12" s="8" t="s">
        <v>9</v>
      </c>
      <c r="C12" s="13" t="s">
        <v>24</v>
      </c>
      <c r="D12" s="21">
        <f>924.1*12*4.82</f>
        <v>53449.944000000003</v>
      </c>
      <c r="F12" s="19">
        <v>15.55</v>
      </c>
    </row>
    <row r="13" spans="1:6">
      <c r="A13" s="5"/>
      <c r="B13" s="8" t="s">
        <v>10</v>
      </c>
      <c r="C13" s="13" t="s">
        <v>24</v>
      </c>
      <c r="D13" s="21">
        <f>924.1*12*2.29</f>
        <v>25394.268000000004</v>
      </c>
      <c r="F13" s="19">
        <v>11.46</v>
      </c>
    </row>
    <row r="14" spans="1:6">
      <c r="A14" s="5"/>
      <c r="B14" s="8" t="s">
        <v>11</v>
      </c>
      <c r="C14" s="13" t="s">
        <v>24</v>
      </c>
      <c r="D14" s="21">
        <f>924.1*12*3.4</f>
        <v>37703.279999999999</v>
      </c>
      <c r="F14" s="19">
        <v>13.98</v>
      </c>
    </row>
    <row r="15" spans="1:6">
      <c r="A15" s="5"/>
      <c r="B15" s="8" t="s">
        <v>12</v>
      </c>
      <c r="C15" s="13" t="s">
        <v>24</v>
      </c>
      <c r="D15" s="21">
        <f>924.1*12*2.61</f>
        <v>28942.812000000002</v>
      </c>
      <c r="F15" s="19">
        <v>8.1199999999999992</v>
      </c>
    </row>
    <row r="16" spans="1:6">
      <c r="A16" s="5"/>
      <c r="B16" s="8" t="s">
        <v>13</v>
      </c>
      <c r="C16" s="13" t="s">
        <v>24</v>
      </c>
      <c r="D16" s="21">
        <f>924.1*12*4.64</f>
        <v>51453.887999999999</v>
      </c>
      <c r="F16" s="19">
        <v>18.14</v>
      </c>
    </row>
    <row r="17" spans="1:6">
      <c r="A17" s="5"/>
      <c r="B17" s="8" t="s">
        <v>21</v>
      </c>
      <c r="C17" s="13" t="s">
        <v>24</v>
      </c>
      <c r="D17" s="21">
        <f>924.1*12*0.1</f>
        <v>1108.92</v>
      </c>
      <c r="E17" s="16"/>
      <c r="F17" s="19">
        <v>0.41</v>
      </c>
    </row>
    <row r="18" spans="1:6">
      <c r="A18" s="5"/>
      <c r="B18" s="8" t="s">
        <v>23</v>
      </c>
      <c r="C18" s="13" t="s">
        <v>24</v>
      </c>
      <c r="D18" s="21">
        <f>924.1*12*0.43</f>
        <v>4768.3560000000007</v>
      </c>
      <c r="F18" s="19">
        <v>2.52</v>
      </c>
    </row>
    <row r="19" spans="1:6">
      <c r="A19" s="5"/>
      <c r="B19" s="9" t="s">
        <v>14</v>
      </c>
      <c r="C19" s="13" t="s">
        <v>24</v>
      </c>
      <c r="D19" s="11">
        <f>D18+D17+D16+D15+D14+D13+D12+D11+D10</f>
        <v>249213.764</v>
      </c>
      <c r="E19" s="16"/>
      <c r="F19" s="19" t="e">
        <f>F18+F17+F16+F15+F14+F13+F12+F11+F10+#REF!+#REF!</f>
        <v>#REF!</v>
      </c>
    </row>
    <row r="20" spans="1:6">
      <c r="A20" s="5"/>
      <c r="B20" s="6" t="s">
        <v>15</v>
      </c>
      <c r="C20" s="13" t="s">
        <v>24</v>
      </c>
      <c r="D20" s="11">
        <f>D6-D19</f>
        <v>-19999.999999999971</v>
      </c>
    </row>
    <row r="21" spans="1:6">
      <c r="A21" s="5"/>
      <c r="B21" s="25" t="s">
        <v>16</v>
      </c>
      <c r="C21" s="26"/>
      <c r="D21" s="27"/>
    </row>
    <row r="22" spans="1:6">
      <c r="A22" s="5"/>
      <c r="B22" s="6" t="s">
        <v>17</v>
      </c>
      <c r="C22" s="13" t="s">
        <v>24</v>
      </c>
      <c r="D22" s="11"/>
    </row>
    <row r="23" spans="1:6">
      <c r="A23" s="5"/>
      <c r="B23" s="7" t="s">
        <v>19</v>
      </c>
      <c r="C23" s="13" t="s">
        <v>24</v>
      </c>
      <c r="D23" s="12">
        <v>15000</v>
      </c>
    </row>
    <row r="24" spans="1:6">
      <c r="A24" s="5"/>
      <c r="B24" s="6" t="s">
        <v>15</v>
      </c>
      <c r="C24" s="13" t="s">
        <v>24</v>
      </c>
      <c r="D24" s="11">
        <f>D7-D23</f>
        <v>52422.33600000001</v>
      </c>
    </row>
  </sheetData>
  <mergeCells count="3">
    <mergeCell ref="A2:D2"/>
    <mergeCell ref="B9:D9"/>
    <mergeCell ref="B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104</vt:i4>
      </vt:variant>
    </vt:vector>
  </HeadingPairs>
  <TitlesOfParts>
    <vt:vector size="104" baseType="lpstr">
      <vt:lpstr>1</vt:lpstr>
      <vt:lpstr>2</vt:lpstr>
      <vt:lpstr>3</vt:lpstr>
      <vt:lpstr>4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2013-05-08T03:01:55Z</cp:lastPrinted>
  <dcterms:created xsi:type="dcterms:W3CDTF">2013-04-23T07:29:32Z</dcterms:created>
  <dcterms:modified xsi:type="dcterms:W3CDTF">2014-04-28T02:32:46Z</dcterms:modified>
</cp:coreProperties>
</file>