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89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92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24" windowWidth="15132" windowHeight="8892" tabRatio="927" firstSheet="65" activeTab="91"/>
  </bookViews>
  <sheets>
    <sheet name="1" sheetId="1" r:id="rId1"/>
    <sheet name="2" sheetId="9" r:id="rId2"/>
    <sheet name="3" sheetId="8" r:id="rId3"/>
    <sheet name="4" sheetId="7" r:id="rId4"/>
    <sheet name="7" sheetId="6" r:id="rId5"/>
    <sheet name="8" sheetId="5" r:id="rId6"/>
    <sheet name="9" sheetId="4" r:id="rId7"/>
    <sheet name="10" sheetId="10" r:id="rId8"/>
    <sheet name="11" sheetId="15" r:id="rId9"/>
    <sheet name="12" sheetId="14" r:id="rId10"/>
    <sheet name="13" sheetId="13" r:id="rId11"/>
    <sheet name="14" sheetId="12" r:id="rId12"/>
    <sheet name="15" sheetId="11" r:id="rId13"/>
    <sheet name="16" sheetId="31" r:id="rId14"/>
    <sheet name="17" sheetId="30" r:id="rId15"/>
    <sheet name="18" sheetId="29" r:id="rId16"/>
    <sheet name="19" sheetId="28" r:id="rId17"/>
    <sheet name="20" sheetId="27" r:id="rId18"/>
    <sheet name="21" sheetId="65" r:id="rId19"/>
    <sheet name="22" sheetId="26" r:id="rId20"/>
    <sheet name="23" sheetId="25" r:id="rId21"/>
    <sheet name="24" sheetId="24" r:id="rId22"/>
    <sheet name="25" sheetId="23" r:id="rId23"/>
    <sheet name="26" sheetId="22" r:id="rId24"/>
    <sheet name="27" sheetId="21" r:id="rId25"/>
    <sheet name="28" sheetId="20" r:id="rId26"/>
    <sheet name="29" sheetId="109" r:id="rId27"/>
    <sheet name="30" sheetId="19" r:id="rId28"/>
    <sheet name="31" sheetId="66" r:id="rId29"/>
    <sheet name="32" sheetId="18" r:id="rId30"/>
    <sheet name="33" sheetId="17" r:id="rId31"/>
    <sheet name="34" sheetId="126" r:id="rId32"/>
    <sheet name="35" sheetId="125" r:id="rId33"/>
    <sheet name="36" sheetId="124" r:id="rId34"/>
    <sheet name="37" sheetId="123" r:id="rId35"/>
    <sheet name="38" sheetId="122" r:id="rId36"/>
    <sheet name="39" sheetId="121" r:id="rId37"/>
    <sheet name="40" sheetId="120" r:id="rId38"/>
    <sheet name="41" sheetId="119" r:id="rId39"/>
    <sheet name="49" sheetId="35" r:id="rId40"/>
    <sheet name="50" sheetId="34" r:id="rId41"/>
    <sheet name="51" sheetId="33" r:id="rId42"/>
    <sheet name="52" sheetId="32" r:id="rId43"/>
    <sheet name="53" sheetId="16" r:id="rId44"/>
    <sheet name="54" sheetId="50" r:id="rId45"/>
    <sheet name="55" sheetId="49" r:id="rId46"/>
    <sheet name="56" sheetId="48" r:id="rId47"/>
    <sheet name="57" sheetId="47" r:id="rId48"/>
    <sheet name="58" sheetId="46" r:id="rId49"/>
    <sheet name="59" sheetId="45" r:id="rId50"/>
    <sheet name="60" sheetId="44" r:id="rId51"/>
    <sheet name="61" sheetId="43" r:id="rId52"/>
    <sheet name="62" sheetId="127" r:id="rId53"/>
    <sheet name="63" sheetId="41" r:id="rId54"/>
    <sheet name="64" sheetId="40" r:id="rId55"/>
    <sheet name="65" sheetId="39" r:id="rId56"/>
    <sheet name="66" sheetId="38" r:id="rId57"/>
    <sheet name="67" sheetId="37" r:id="rId58"/>
    <sheet name="68" sheetId="36" r:id="rId59"/>
    <sheet name="69" sheetId="57" r:id="rId60"/>
    <sheet name="70" sheetId="56" r:id="rId61"/>
    <sheet name="71" sheetId="55" r:id="rId62"/>
    <sheet name="72" sheetId="54" r:id="rId63"/>
    <sheet name="73" sheetId="53" r:id="rId64"/>
    <sheet name="74" sheetId="135" r:id="rId65"/>
    <sheet name="75" sheetId="134" r:id="rId66"/>
    <sheet name="76" sheetId="133" r:id="rId67"/>
    <sheet name="77" sheetId="131" r:id="rId68"/>
    <sheet name="78" sheetId="130" r:id="rId69"/>
    <sheet name="79" sheetId="129" r:id="rId70"/>
    <sheet name="80" sheetId="128" r:id="rId71"/>
    <sheet name="81" sheetId="142" r:id="rId72"/>
    <sheet name="82" sheetId="141" r:id="rId73"/>
    <sheet name="83" sheetId="140" r:id="rId74"/>
    <sheet name="84" sheetId="139" r:id="rId75"/>
    <sheet name="85" sheetId="138" r:id="rId76"/>
    <sheet name="86" sheetId="137" r:id="rId77"/>
    <sheet name="87" sheetId="136" r:id="rId78"/>
    <sheet name="88" sheetId="153" r:id="rId79"/>
    <sheet name="89" sheetId="152" r:id="rId80"/>
    <sheet name="90" sheetId="151" r:id="rId81"/>
    <sheet name="91" sheetId="150" r:id="rId82"/>
    <sheet name="92" sheetId="149" r:id="rId83"/>
    <sheet name="93" sheetId="148" r:id="rId84"/>
    <sheet name="104" sheetId="147" r:id="rId85"/>
    <sheet name="105" sheetId="146" r:id="rId86"/>
    <sheet name="106" sheetId="145" r:id="rId87"/>
    <sheet name="107" sheetId="144" r:id="rId88"/>
    <sheet name="108" sheetId="143" r:id="rId89"/>
    <sheet name="109" sheetId="155" r:id="rId90"/>
    <sheet name="110" sheetId="154" r:id="rId91"/>
    <sheet name="111" sheetId="117" r:id="rId92"/>
  </sheets>
  <calcPr calcId="125725"/>
</workbook>
</file>

<file path=xl/calcChain.xml><?xml version="1.0" encoding="utf-8"?>
<calcChain xmlns="http://schemas.openxmlformats.org/spreadsheetml/2006/main">
  <c r="D28" i="35"/>
  <c r="D18" i="139" l="1"/>
  <c r="D17"/>
  <c r="D16"/>
  <c r="D15"/>
  <c r="D14"/>
  <c r="D13"/>
  <c r="D12"/>
  <c r="D10"/>
  <c r="D7"/>
  <c r="D24" s="1"/>
  <c r="D6"/>
  <c r="D18" i="138"/>
  <c r="D17"/>
  <c r="D16"/>
  <c r="D15"/>
  <c r="D14"/>
  <c r="D13"/>
  <c r="D12"/>
  <c r="D10"/>
  <c r="D7"/>
  <c r="D24" s="1"/>
  <c r="D6"/>
  <c r="D18" i="137"/>
  <c r="D17"/>
  <c r="D16"/>
  <c r="D15"/>
  <c r="D14"/>
  <c r="D13"/>
  <c r="D12"/>
  <c r="D10"/>
  <c r="D7"/>
  <c r="D24" s="1"/>
  <c r="D6"/>
  <c r="D18" i="136"/>
  <c r="D17"/>
  <c r="D16"/>
  <c r="D15"/>
  <c r="D14"/>
  <c r="D13"/>
  <c r="D12"/>
  <c r="D10"/>
  <c r="D7"/>
  <c r="D24" s="1"/>
  <c r="D6"/>
  <c r="D18" i="153"/>
  <c r="D17"/>
  <c r="D16"/>
  <c r="D15"/>
  <c r="D14"/>
  <c r="D13"/>
  <c r="D12"/>
  <c r="D10"/>
  <c r="D7"/>
  <c r="D24" s="1"/>
  <c r="D6"/>
  <c r="D18" i="152"/>
  <c r="D17"/>
  <c r="D16"/>
  <c r="D15"/>
  <c r="D14"/>
  <c r="D13"/>
  <c r="D12"/>
  <c r="D10"/>
  <c r="D7"/>
  <c r="D24" s="1"/>
  <c r="D6"/>
  <c r="D18" i="151"/>
  <c r="D17"/>
  <c r="D16"/>
  <c r="D15"/>
  <c r="D14"/>
  <c r="D13"/>
  <c r="D12"/>
  <c r="D10"/>
  <c r="D7"/>
  <c r="D24" s="1"/>
  <c r="D6"/>
  <c r="D18" i="150"/>
  <c r="D17"/>
  <c r="D16"/>
  <c r="D15"/>
  <c r="D14"/>
  <c r="D13"/>
  <c r="D12"/>
  <c r="D10"/>
  <c r="D7"/>
  <c r="D24" s="1"/>
  <c r="D6"/>
  <c r="D18" i="149"/>
  <c r="D17"/>
  <c r="D16"/>
  <c r="D15"/>
  <c r="D14"/>
  <c r="D13"/>
  <c r="D12"/>
  <c r="D10"/>
  <c r="D7"/>
  <c r="D24" s="1"/>
  <c r="D6"/>
  <c r="D18" i="148"/>
  <c r="D17"/>
  <c r="D16"/>
  <c r="D15"/>
  <c r="D14"/>
  <c r="D13"/>
  <c r="D12"/>
  <c r="D10"/>
  <c r="D7"/>
  <c r="D24" s="1"/>
  <c r="D6"/>
  <c r="F19" i="147"/>
  <c r="D18"/>
  <c r="D17"/>
  <c r="D16"/>
  <c r="D15"/>
  <c r="D14"/>
  <c r="D13"/>
  <c r="D12"/>
  <c r="D10"/>
  <c r="D7"/>
  <c r="D24" s="1"/>
  <c r="D6"/>
  <c r="D18" i="146"/>
  <c r="D17"/>
  <c r="D16"/>
  <c r="D15"/>
  <c r="D14"/>
  <c r="D13"/>
  <c r="D12"/>
  <c r="D10"/>
  <c r="D7"/>
  <c r="D24" s="1"/>
  <c r="D6"/>
  <c r="D18" i="145"/>
  <c r="D17"/>
  <c r="D16"/>
  <c r="D15"/>
  <c r="D14"/>
  <c r="D13"/>
  <c r="D12"/>
  <c r="D10"/>
  <c r="D7"/>
  <c r="D24" s="1"/>
  <c r="D6"/>
  <c r="D18" i="144"/>
  <c r="D17"/>
  <c r="D16"/>
  <c r="D15"/>
  <c r="D14"/>
  <c r="D13"/>
  <c r="D12"/>
  <c r="D10"/>
  <c r="D7"/>
  <c r="D24" s="1"/>
  <c r="D6"/>
  <c r="D18" i="143"/>
  <c r="D17"/>
  <c r="D16"/>
  <c r="D15"/>
  <c r="D14"/>
  <c r="D13"/>
  <c r="D12"/>
  <c r="D10"/>
  <c r="D7"/>
  <c r="D24" s="1"/>
  <c r="D6"/>
  <c r="D18" i="155"/>
  <c r="D17"/>
  <c r="D16"/>
  <c r="D15"/>
  <c r="D14"/>
  <c r="D13"/>
  <c r="D12"/>
  <c r="D10"/>
  <c r="D7"/>
  <c r="D24" s="1"/>
  <c r="D6"/>
  <c r="D18" i="154"/>
  <c r="D17"/>
  <c r="D16"/>
  <c r="D15"/>
  <c r="D14"/>
  <c r="D13"/>
  <c r="D12"/>
  <c r="D10"/>
  <c r="D7"/>
  <c r="D24" s="1"/>
  <c r="D6"/>
  <c r="D18" i="117"/>
  <c r="D17"/>
  <c r="D16"/>
  <c r="D15"/>
  <c r="D14"/>
  <c r="D13"/>
  <c r="D12"/>
  <c r="D10"/>
  <c r="D7"/>
  <c r="D24" s="1"/>
  <c r="D6"/>
  <c r="F19" i="146"/>
  <c r="D19"/>
  <c r="F19" i="148"/>
  <c r="D19"/>
  <c r="D5"/>
  <c r="F19" i="149"/>
  <c r="D19"/>
  <c r="D20" s="1"/>
  <c r="D5"/>
  <c r="F19" i="150"/>
  <c r="D19"/>
  <c r="D20" s="1"/>
  <c r="D5"/>
  <c r="F19" i="151"/>
  <c r="D19"/>
  <c r="D20" s="1"/>
  <c r="D5"/>
  <c r="F19" i="152"/>
  <c r="D19"/>
  <c r="D5"/>
  <c r="F19" i="153"/>
  <c r="D19"/>
  <c r="D5"/>
  <c r="F19" i="136"/>
  <c r="D19"/>
  <c r="D20" s="1"/>
  <c r="D5"/>
  <c r="F19" i="137"/>
  <c r="F19" i="139"/>
  <c r="D19"/>
  <c r="D5"/>
  <c r="D18" i="140"/>
  <c r="D17"/>
  <c r="D16"/>
  <c r="D15"/>
  <c r="D14"/>
  <c r="D13"/>
  <c r="D12"/>
  <c r="D10"/>
  <c r="D7"/>
  <c r="D24" s="1"/>
  <c r="D6"/>
  <c r="D18" i="141"/>
  <c r="D17"/>
  <c r="D16"/>
  <c r="D15"/>
  <c r="D14"/>
  <c r="D13"/>
  <c r="D12"/>
  <c r="D10"/>
  <c r="D7"/>
  <c r="D24" s="1"/>
  <c r="D6"/>
  <c r="D18" i="142"/>
  <c r="D17"/>
  <c r="D16"/>
  <c r="D15"/>
  <c r="D14"/>
  <c r="D13"/>
  <c r="D12"/>
  <c r="D10"/>
  <c r="D7"/>
  <c r="D24" s="1"/>
  <c r="D6"/>
  <c r="F19"/>
  <c r="D18" i="128"/>
  <c r="D17"/>
  <c r="D16"/>
  <c r="D15"/>
  <c r="D14"/>
  <c r="D13"/>
  <c r="D12"/>
  <c r="D10"/>
  <c r="D7"/>
  <c r="D24" s="1"/>
  <c r="D6"/>
  <c r="D18" i="129"/>
  <c r="D17"/>
  <c r="D16"/>
  <c r="D15"/>
  <c r="D14"/>
  <c r="D13"/>
  <c r="D12"/>
  <c r="D10"/>
  <c r="D7"/>
  <c r="D24" s="1"/>
  <c r="D6"/>
  <c r="D18" i="130"/>
  <c r="D17"/>
  <c r="D16"/>
  <c r="D15"/>
  <c r="D14"/>
  <c r="D13"/>
  <c r="D12"/>
  <c r="D10"/>
  <c r="D7"/>
  <c r="D24" s="1"/>
  <c r="D6"/>
  <c r="D18" i="131"/>
  <c r="D17"/>
  <c r="D16"/>
  <c r="D15"/>
  <c r="D14"/>
  <c r="D13"/>
  <c r="D12"/>
  <c r="D10"/>
  <c r="D7"/>
  <c r="D24" s="1"/>
  <c r="D6"/>
  <c r="D18" i="133"/>
  <c r="D17"/>
  <c r="D16"/>
  <c r="D15"/>
  <c r="D14"/>
  <c r="D13"/>
  <c r="D12"/>
  <c r="D10"/>
  <c r="D7"/>
  <c r="D24" s="1"/>
  <c r="D6"/>
  <c r="D18" i="134"/>
  <c r="D17"/>
  <c r="D16"/>
  <c r="D15"/>
  <c r="D14"/>
  <c r="D13"/>
  <c r="D12"/>
  <c r="D10"/>
  <c r="D7"/>
  <c r="D24" s="1"/>
  <c r="D6"/>
  <c r="D5" s="1"/>
  <c r="D18" i="135"/>
  <c r="D17"/>
  <c r="D16"/>
  <c r="D15"/>
  <c r="D14"/>
  <c r="D13"/>
  <c r="D12"/>
  <c r="D10"/>
  <c r="D7"/>
  <c r="D24" s="1"/>
  <c r="D6"/>
  <c r="F19" i="117"/>
  <c r="D19"/>
  <c r="D20" s="1"/>
  <c r="D5"/>
  <c r="F19" i="154"/>
  <c r="D19"/>
  <c r="D20" s="1"/>
  <c r="D5"/>
  <c r="F19" i="155"/>
  <c r="D19"/>
  <c r="D20" s="1"/>
  <c r="D5"/>
  <c r="F19" i="143"/>
  <c r="D5"/>
  <c r="F19" i="144"/>
  <c r="D19"/>
  <c r="D20" s="1"/>
  <c r="D5"/>
  <c r="F19" i="145"/>
  <c r="D5"/>
  <c r="F19" i="138"/>
  <c r="D19"/>
  <c r="D20" s="1"/>
  <c r="D5"/>
  <c r="F19" i="140"/>
  <c r="D5"/>
  <c r="F19" i="141"/>
  <c r="F19" i="128"/>
  <c r="F19" i="129"/>
  <c r="D19"/>
  <c r="D5"/>
  <c r="F19" i="130"/>
  <c r="D5"/>
  <c r="F19" i="131"/>
  <c r="D5"/>
  <c r="F19" i="133"/>
  <c r="D19"/>
  <c r="D20" s="1"/>
  <c r="F19" i="134"/>
  <c r="D19"/>
  <c r="F19" i="135"/>
  <c r="D20" i="53"/>
  <c r="D19"/>
  <c r="D18"/>
  <c r="D17"/>
  <c r="D16"/>
  <c r="D15"/>
  <c r="D14"/>
  <c r="D12"/>
  <c r="D11"/>
  <c r="D10"/>
  <c r="D7"/>
  <c r="D28" s="1"/>
  <c r="D6"/>
  <c r="D5" s="1"/>
  <c r="D20" i="54"/>
  <c r="D19"/>
  <c r="D18"/>
  <c r="D17"/>
  <c r="D16"/>
  <c r="D15"/>
  <c r="D14"/>
  <c r="D12"/>
  <c r="D11"/>
  <c r="D10"/>
  <c r="D7"/>
  <c r="D27" s="1"/>
  <c r="D6"/>
  <c r="D20" i="55"/>
  <c r="D19"/>
  <c r="D18"/>
  <c r="D17"/>
  <c r="D16"/>
  <c r="D15"/>
  <c r="D14"/>
  <c r="D12"/>
  <c r="D11"/>
  <c r="D10"/>
  <c r="D7"/>
  <c r="D27" s="1"/>
  <c r="D6"/>
  <c r="D5" s="1"/>
  <c r="D20" i="56"/>
  <c r="D19"/>
  <c r="D18"/>
  <c r="D17"/>
  <c r="D16"/>
  <c r="D15"/>
  <c r="D14"/>
  <c r="D12"/>
  <c r="D11"/>
  <c r="D10"/>
  <c r="D7"/>
  <c r="D28" s="1"/>
  <c r="D6"/>
  <c r="D20" i="57"/>
  <c r="D19"/>
  <c r="D18"/>
  <c r="D17"/>
  <c r="D16"/>
  <c r="D15"/>
  <c r="D14"/>
  <c r="D12"/>
  <c r="D11"/>
  <c r="D10"/>
  <c r="D7"/>
  <c r="D27" s="1"/>
  <c r="D6"/>
  <c r="D20" i="36"/>
  <c r="D19"/>
  <c r="D18"/>
  <c r="D17"/>
  <c r="D16"/>
  <c r="D15"/>
  <c r="D14"/>
  <c r="D12"/>
  <c r="D11"/>
  <c r="D10"/>
  <c r="D7"/>
  <c r="D27" s="1"/>
  <c r="D6"/>
  <c r="D20" i="37"/>
  <c r="D19"/>
  <c r="D21" s="1"/>
  <c r="D22" s="1"/>
  <c r="D18"/>
  <c r="D17"/>
  <c r="D16"/>
  <c r="D15"/>
  <c r="D14"/>
  <c r="D12"/>
  <c r="D11"/>
  <c r="D10"/>
  <c r="D7"/>
  <c r="D27" s="1"/>
  <c r="D6"/>
  <c r="D20" i="38"/>
  <c r="D19"/>
  <c r="D18"/>
  <c r="D17"/>
  <c r="D16"/>
  <c r="D15"/>
  <c r="D14"/>
  <c r="D12"/>
  <c r="D11"/>
  <c r="D10"/>
  <c r="D7"/>
  <c r="D28" s="1"/>
  <c r="D6"/>
  <c r="D5" s="1"/>
  <c r="D20" i="39"/>
  <c r="D19"/>
  <c r="D18"/>
  <c r="D17"/>
  <c r="D16"/>
  <c r="D15"/>
  <c r="D14"/>
  <c r="D12"/>
  <c r="D11"/>
  <c r="D10"/>
  <c r="D7"/>
  <c r="D28" s="1"/>
  <c r="D6"/>
  <c r="D20" i="40"/>
  <c r="D19"/>
  <c r="D18"/>
  <c r="D17"/>
  <c r="D16"/>
  <c r="D15"/>
  <c r="D14"/>
  <c r="D12"/>
  <c r="D11"/>
  <c r="D10"/>
  <c r="D7"/>
  <c r="D28" s="1"/>
  <c r="D6"/>
  <c r="D20" i="41"/>
  <c r="D19"/>
  <c r="D18"/>
  <c r="D17"/>
  <c r="D16"/>
  <c r="D15"/>
  <c r="D14"/>
  <c r="D12"/>
  <c r="D11"/>
  <c r="D10"/>
  <c r="D7"/>
  <c r="D26" s="1"/>
  <c r="D6"/>
  <c r="D18" i="127"/>
  <c r="D17"/>
  <c r="D16"/>
  <c r="D15"/>
  <c r="D14"/>
  <c r="D13"/>
  <c r="D12"/>
  <c r="D10"/>
  <c r="D7"/>
  <c r="D6"/>
  <c r="F19"/>
  <c r="D20" i="43"/>
  <c r="D19"/>
  <c r="D18"/>
  <c r="D17"/>
  <c r="D16"/>
  <c r="D15"/>
  <c r="D14"/>
  <c r="D12"/>
  <c r="D11"/>
  <c r="D10"/>
  <c r="D7"/>
  <c r="D28" s="1"/>
  <c r="D6"/>
  <c r="D20" i="44"/>
  <c r="D19"/>
  <c r="D18"/>
  <c r="D17"/>
  <c r="D16"/>
  <c r="D15"/>
  <c r="D14"/>
  <c r="D12"/>
  <c r="D11"/>
  <c r="D10"/>
  <c r="D7"/>
  <c r="D27" s="1"/>
  <c r="D6"/>
  <c r="F21" i="53"/>
  <c r="F21" i="54"/>
  <c r="D5"/>
  <c r="F21" i="55"/>
  <c r="F21" i="56"/>
  <c r="D21"/>
  <c r="D5"/>
  <c r="F21" i="57"/>
  <c r="F21" i="36"/>
  <c r="F21" i="37"/>
  <c r="F21" i="38"/>
  <c r="F21" i="39"/>
  <c r="F21" i="40"/>
  <c r="F21" i="41"/>
  <c r="F21" i="43"/>
  <c r="F21" i="44"/>
  <c r="D20" i="45"/>
  <c r="D19"/>
  <c r="D18"/>
  <c r="D17"/>
  <c r="D16"/>
  <c r="D15"/>
  <c r="D14"/>
  <c r="D12"/>
  <c r="D11"/>
  <c r="D10"/>
  <c r="D7"/>
  <c r="D28" s="1"/>
  <c r="D6"/>
  <c r="D20" i="46"/>
  <c r="D19"/>
  <c r="D18"/>
  <c r="D17"/>
  <c r="D16"/>
  <c r="D15"/>
  <c r="D14"/>
  <c r="D12"/>
  <c r="D11"/>
  <c r="D10"/>
  <c r="D7"/>
  <c r="D27" s="1"/>
  <c r="D6"/>
  <c r="D20" i="47"/>
  <c r="D19"/>
  <c r="D18"/>
  <c r="D17"/>
  <c r="D16"/>
  <c r="D15"/>
  <c r="D14"/>
  <c r="D12"/>
  <c r="D11"/>
  <c r="D10"/>
  <c r="D7"/>
  <c r="D29" s="1"/>
  <c r="D6"/>
  <c r="D20" i="48"/>
  <c r="D19"/>
  <c r="D18"/>
  <c r="D17"/>
  <c r="D16"/>
  <c r="D15"/>
  <c r="D14"/>
  <c r="D12"/>
  <c r="D11"/>
  <c r="D10"/>
  <c r="D7"/>
  <c r="D27" s="1"/>
  <c r="D6"/>
  <c r="D20" i="49"/>
  <c r="D19"/>
  <c r="D18"/>
  <c r="D17"/>
  <c r="D16"/>
  <c r="D15"/>
  <c r="D14"/>
  <c r="D12"/>
  <c r="D11"/>
  <c r="D10"/>
  <c r="D7"/>
  <c r="D27" s="1"/>
  <c r="D6"/>
  <c r="D20" i="50"/>
  <c r="D19"/>
  <c r="D18"/>
  <c r="D17"/>
  <c r="D16"/>
  <c r="D15"/>
  <c r="D14"/>
  <c r="D12"/>
  <c r="D11"/>
  <c r="D10"/>
  <c r="D7"/>
  <c r="D27" s="1"/>
  <c r="D6"/>
  <c r="D20" i="16"/>
  <c r="D19"/>
  <c r="D18"/>
  <c r="D17"/>
  <c r="D16"/>
  <c r="D15"/>
  <c r="D14"/>
  <c r="D12"/>
  <c r="D11"/>
  <c r="D10"/>
  <c r="D7"/>
  <c r="D27" s="1"/>
  <c r="D6"/>
  <c r="D20" i="32"/>
  <c r="D19"/>
  <c r="D18"/>
  <c r="D17"/>
  <c r="D16"/>
  <c r="D15"/>
  <c r="D14"/>
  <c r="D12"/>
  <c r="D11"/>
  <c r="D10"/>
  <c r="D7"/>
  <c r="D28" s="1"/>
  <c r="D6"/>
  <c r="D20" i="33"/>
  <c r="D19"/>
  <c r="D18"/>
  <c r="D17"/>
  <c r="D16"/>
  <c r="D15"/>
  <c r="D14"/>
  <c r="D12"/>
  <c r="D11"/>
  <c r="D10"/>
  <c r="D7"/>
  <c r="D27" s="1"/>
  <c r="D6"/>
  <c r="D20" i="34"/>
  <c r="D19"/>
  <c r="D18"/>
  <c r="D17"/>
  <c r="D16"/>
  <c r="D15"/>
  <c r="D14"/>
  <c r="D12"/>
  <c r="D11"/>
  <c r="D10"/>
  <c r="D7"/>
  <c r="D27" s="1"/>
  <c r="D6"/>
  <c r="D20" i="35"/>
  <c r="D19"/>
  <c r="D18"/>
  <c r="D17"/>
  <c r="D16"/>
  <c r="D15"/>
  <c r="D14"/>
  <c r="D12"/>
  <c r="D11"/>
  <c r="D10"/>
  <c r="D7"/>
  <c r="D6"/>
  <c r="F19" i="119"/>
  <c r="D18"/>
  <c r="D17"/>
  <c r="D16"/>
  <c r="D15"/>
  <c r="D14"/>
  <c r="D13"/>
  <c r="D12"/>
  <c r="D10"/>
  <c r="D7"/>
  <c r="D24" s="1"/>
  <c r="D6"/>
  <c r="D5" s="1"/>
  <c r="F19" i="120"/>
  <c r="D18"/>
  <c r="D17"/>
  <c r="D16"/>
  <c r="D15"/>
  <c r="D14"/>
  <c r="D13"/>
  <c r="D12"/>
  <c r="D10"/>
  <c r="D7"/>
  <c r="D25" s="1"/>
  <c r="D6"/>
  <c r="D5" s="1"/>
  <c r="F19" i="121"/>
  <c r="D18"/>
  <c r="D17"/>
  <c r="D16"/>
  <c r="D15"/>
  <c r="D14"/>
  <c r="D13"/>
  <c r="D12"/>
  <c r="D10"/>
  <c r="D7"/>
  <c r="D24" s="1"/>
  <c r="D6"/>
  <c r="D18" i="122"/>
  <c r="D17"/>
  <c r="D16"/>
  <c r="D15"/>
  <c r="D14"/>
  <c r="D13"/>
  <c r="D12"/>
  <c r="D10"/>
  <c r="D7"/>
  <c r="D24" s="1"/>
  <c r="D6"/>
  <c r="D18" i="123"/>
  <c r="D17"/>
  <c r="D16"/>
  <c r="D15"/>
  <c r="D14"/>
  <c r="D13"/>
  <c r="D12"/>
  <c r="D10"/>
  <c r="D7"/>
  <c r="D25" s="1"/>
  <c r="D6"/>
  <c r="D18" i="124"/>
  <c r="D17"/>
  <c r="D16"/>
  <c r="D15"/>
  <c r="D14"/>
  <c r="D13"/>
  <c r="D12"/>
  <c r="D10"/>
  <c r="D7"/>
  <c r="D25" s="1"/>
  <c r="D6"/>
  <c r="D18" i="125"/>
  <c r="D17"/>
  <c r="D16"/>
  <c r="D15"/>
  <c r="D14"/>
  <c r="D13"/>
  <c r="D12"/>
  <c r="D10"/>
  <c r="D7"/>
  <c r="D24" s="1"/>
  <c r="D6"/>
  <c r="F19" i="122"/>
  <c r="F19" i="123"/>
  <c r="D19"/>
  <c r="F19" i="124"/>
  <c r="F19" i="125"/>
  <c r="D19"/>
  <c r="D18" i="126"/>
  <c r="D17"/>
  <c r="D16"/>
  <c r="D15"/>
  <c r="D14"/>
  <c r="D13"/>
  <c r="D12"/>
  <c r="D10"/>
  <c r="D7"/>
  <c r="D26" s="1"/>
  <c r="D6"/>
  <c r="F19"/>
  <c r="D20" i="17"/>
  <c r="D19"/>
  <c r="D18"/>
  <c r="D17"/>
  <c r="D16"/>
  <c r="D15"/>
  <c r="D14"/>
  <c r="D12"/>
  <c r="D11"/>
  <c r="D10"/>
  <c r="D7"/>
  <c r="D29" s="1"/>
  <c r="D6"/>
  <c r="D20" i="18"/>
  <c r="D19"/>
  <c r="D18"/>
  <c r="D17"/>
  <c r="D16"/>
  <c r="D15"/>
  <c r="D14"/>
  <c r="D12"/>
  <c r="D11"/>
  <c r="D10"/>
  <c r="D7"/>
  <c r="D28" s="1"/>
  <c r="D6"/>
  <c r="D20" i="66"/>
  <c r="D19"/>
  <c r="D18"/>
  <c r="D17"/>
  <c r="D16"/>
  <c r="D15"/>
  <c r="D14"/>
  <c r="D12"/>
  <c r="D11"/>
  <c r="D10"/>
  <c r="D7"/>
  <c r="D30" s="1"/>
  <c r="D6"/>
  <c r="D20" i="19"/>
  <c r="D19"/>
  <c r="D18"/>
  <c r="D17"/>
  <c r="D16"/>
  <c r="D15"/>
  <c r="D14"/>
  <c r="D12"/>
  <c r="D11"/>
  <c r="D10"/>
  <c r="D7"/>
  <c r="D30" s="1"/>
  <c r="D6"/>
  <c r="D5" s="1"/>
  <c r="D20" i="109"/>
  <c r="D19"/>
  <c r="D18"/>
  <c r="D17"/>
  <c r="D16"/>
  <c r="D15"/>
  <c r="D14"/>
  <c r="D12"/>
  <c r="D11"/>
  <c r="D10"/>
  <c r="D7"/>
  <c r="D28" s="1"/>
  <c r="D6"/>
  <c r="D5" s="1"/>
  <c r="D20" i="20"/>
  <c r="D19"/>
  <c r="D18"/>
  <c r="D17"/>
  <c r="D16"/>
  <c r="D15"/>
  <c r="D14"/>
  <c r="D12"/>
  <c r="D11"/>
  <c r="D10"/>
  <c r="D7"/>
  <c r="D30" s="1"/>
  <c r="D6"/>
  <c r="D20" i="21"/>
  <c r="D19"/>
  <c r="D18"/>
  <c r="D17"/>
  <c r="D16"/>
  <c r="D15"/>
  <c r="D14"/>
  <c r="D12"/>
  <c r="D11"/>
  <c r="D10"/>
  <c r="D7"/>
  <c r="D29" s="1"/>
  <c r="D6"/>
  <c r="D5" s="1"/>
  <c r="D20" i="22"/>
  <c r="D19"/>
  <c r="D18"/>
  <c r="D17"/>
  <c r="D16"/>
  <c r="D15"/>
  <c r="D14"/>
  <c r="D12"/>
  <c r="D11"/>
  <c r="D10"/>
  <c r="D7"/>
  <c r="D30" s="1"/>
  <c r="D6"/>
  <c r="D20" i="23"/>
  <c r="D19"/>
  <c r="D18"/>
  <c r="D17"/>
  <c r="D16"/>
  <c r="D15"/>
  <c r="D14"/>
  <c r="D12"/>
  <c r="D11"/>
  <c r="D10"/>
  <c r="D7"/>
  <c r="D28" s="1"/>
  <c r="D6"/>
  <c r="D20" i="24"/>
  <c r="D19"/>
  <c r="D18"/>
  <c r="D17"/>
  <c r="D16"/>
  <c r="D15"/>
  <c r="D14"/>
  <c r="D12"/>
  <c r="D11"/>
  <c r="D10"/>
  <c r="D7"/>
  <c r="D6"/>
  <c r="D20" i="25"/>
  <c r="D19"/>
  <c r="D18"/>
  <c r="D17"/>
  <c r="D16"/>
  <c r="D15"/>
  <c r="D14"/>
  <c r="D12"/>
  <c r="D11"/>
  <c r="D10"/>
  <c r="D7"/>
  <c r="D28" s="1"/>
  <c r="D6"/>
  <c r="D20" i="26"/>
  <c r="D19"/>
  <c r="D18"/>
  <c r="D17"/>
  <c r="D16"/>
  <c r="D15"/>
  <c r="D14"/>
  <c r="D12"/>
  <c r="D11"/>
  <c r="D10"/>
  <c r="D7"/>
  <c r="D27" s="1"/>
  <c r="D6"/>
  <c r="D5" s="1"/>
  <c r="D20" i="65"/>
  <c r="D19"/>
  <c r="D18"/>
  <c r="D17"/>
  <c r="D16"/>
  <c r="D15"/>
  <c r="D14"/>
  <c r="D12"/>
  <c r="D11"/>
  <c r="D10"/>
  <c r="D7"/>
  <c r="D29" s="1"/>
  <c r="D6"/>
  <c r="D5" s="1"/>
  <c r="D20" i="27"/>
  <c r="D19"/>
  <c r="D18"/>
  <c r="D17"/>
  <c r="D16"/>
  <c r="D15"/>
  <c r="D14"/>
  <c r="D12"/>
  <c r="D11"/>
  <c r="D10"/>
  <c r="D7"/>
  <c r="D30" s="1"/>
  <c r="D6"/>
  <c r="D20" i="28"/>
  <c r="D19"/>
  <c r="D18"/>
  <c r="D17"/>
  <c r="D16"/>
  <c r="D15"/>
  <c r="D14"/>
  <c r="D12"/>
  <c r="D11"/>
  <c r="D10"/>
  <c r="D7"/>
  <c r="D29" s="1"/>
  <c r="D6"/>
  <c r="D20" i="29"/>
  <c r="D19"/>
  <c r="D18"/>
  <c r="D17"/>
  <c r="D16"/>
  <c r="D15"/>
  <c r="D14"/>
  <c r="D12"/>
  <c r="D11"/>
  <c r="D10"/>
  <c r="D7"/>
  <c r="D28" s="1"/>
  <c r="D6"/>
  <c r="D20" i="30"/>
  <c r="D19"/>
  <c r="D18"/>
  <c r="D17"/>
  <c r="D16"/>
  <c r="D15"/>
  <c r="D14"/>
  <c r="D12"/>
  <c r="D11"/>
  <c r="D10"/>
  <c r="D7"/>
  <c r="D29" s="1"/>
  <c r="D6"/>
  <c r="D20" i="31"/>
  <c r="D19"/>
  <c r="D18"/>
  <c r="D17"/>
  <c r="D16"/>
  <c r="D15"/>
  <c r="D14"/>
  <c r="D12"/>
  <c r="D11"/>
  <c r="D10"/>
  <c r="D7"/>
  <c r="D28" s="1"/>
  <c r="D6"/>
  <c r="D20" i="11"/>
  <c r="D19"/>
  <c r="D18"/>
  <c r="D17"/>
  <c r="D16"/>
  <c r="D15"/>
  <c r="D14"/>
  <c r="D12"/>
  <c r="D11"/>
  <c r="D10"/>
  <c r="D7"/>
  <c r="D27" s="1"/>
  <c r="D6"/>
  <c r="D20" i="14"/>
  <c r="D19"/>
  <c r="D18"/>
  <c r="D17"/>
  <c r="D16"/>
  <c r="D15"/>
  <c r="D14"/>
  <c r="D12"/>
  <c r="D11"/>
  <c r="D10"/>
  <c r="D7"/>
  <c r="D29" s="1"/>
  <c r="D6"/>
  <c r="D20" i="15"/>
  <c r="D19"/>
  <c r="D18"/>
  <c r="D17"/>
  <c r="D16"/>
  <c r="D15"/>
  <c r="D14"/>
  <c r="D12"/>
  <c r="D11"/>
  <c r="D10"/>
  <c r="D7"/>
  <c r="D30" s="1"/>
  <c r="D6"/>
  <c r="D20" i="10"/>
  <c r="D19"/>
  <c r="D18"/>
  <c r="D17"/>
  <c r="D16"/>
  <c r="D15"/>
  <c r="D14"/>
  <c r="D12"/>
  <c r="D11"/>
  <c r="D10"/>
  <c r="D7"/>
  <c r="D30" s="1"/>
  <c r="D6"/>
  <c r="D20" i="5"/>
  <c r="D19"/>
  <c r="D18"/>
  <c r="D17"/>
  <c r="D16"/>
  <c r="D15"/>
  <c r="D14"/>
  <c r="D12"/>
  <c r="D11"/>
  <c r="D10"/>
  <c r="D7"/>
  <c r="D30" s="1"/>
  <c r="D6"/>
  <c r="D20" i="6"/>
  <c r="D19"/>
  <c r="D18"/>
  <c r="D17"/>
  <c r="D16"/>
  <c r="D15"/>
  <c r="D14"/>
  <c r="D12"/>
  <c r="D11"/>
  <c r="D10"/>
  <c r="D7"/>
  <c r="D29" s="1"/>
  <c r="D6"/>
  <c r="D10" i="7"/>
  <c r="D20"/>
  <c r="D19"/>
  <c r="D18"/>
  <c r="D17"/>
  <c r="D16"/>
  <c r="D15"/>
  <c r="D14"/>
  <c r="D12"/>
  <c r="D11"/>
  <c r="D7"/>
  <c r="D28" s="1"/>
  <c r="D6"/>
  <c r="D20" i="8"/>
  <c r="D19"/>
  <c r="D18"/>
  <c r="D17"/>
  <c r="D16"/>
  <c r="D15"/>
  <c r="D14"/>
  <c r="D12"/>
  <c r="D11"/>
  <c r="D10"/>
  <c r="D7"/>
  <c r="D30" s="1"/>
  <c r="D6"/>
  <c r="D20" i="9"/>
  <c r="D19"/>
  <c r="D18"/>
  <c r="D17"/>
  <c r="D16"/>
  <c r="D15"/>
  <c r="D14"/>
  <c r="D12"/>
  <c r="D11"/>
  <c r="D10"/>
  <c r="D7"/>
  <c r="D29" s="1"/>
  <c r="D6"/>
  <c r="F21" i="45"/>
  <c r="D5"/>
  <c r="F21" i="46"/>
  <c r="D21"/>
  <c r="D22" s="1"/>
  <c r="D5"/>
  <c r="F21" i="47"/>
  <c r="F21" i="48"/>
  <c r="D21"/>
  <c r="D22" s="1"/>
  <c r="D5"/>
  <c r="F21" i="49"/>
  <c r="F21" i="50"/>
  <c r="D21"/>
  <c r="D22" s="1"/>
  <c r="D5"/>
  <c r="F21" i="16"/>
  <c r="F21" i="32"/>
  <c r="F21" i="33"/>
  <c r="D21"/>
  <c r="D5"/>
  <c r="F21" i="34"/>
  <c r="D21"/>
  <c r="D5"/>
  <c r="F21" i="35"/>
  <c r="D21"/>
  <c r="D5"/>
  <c r="F21" i="17"/>
  <c r="F21" i="18"/>
  <c r="D21"/>
  <c r="D5"/>
  <c r="F21" i="66"/>
  <c r="F21" i="19"/>
  <c r="F21" i="109"/>
  <c r="F21" i="20"/>
  <c r="D21"/>
  <c r="D22" s="1"/>
  <c r="D5"/>
  <c r="F21" i="21"/>
  <c r="D21"/>
  <c r="F21" i="22"/>
  <c r="D21"/>
  <c r="D5"/>
  <c r="F21" i="23"/>
  <c r="D21"/>
  <c r="D5"/>
  <c r="F21" i="24"/>
  <c r="D21"/>
  <c r="F21" i="25"/>
  <c r="D5"/>
  <c r="F21" i="26"/>
  <c r="F21" i="65"/>
  <c r="F21" i="27"/>
  <c r="F21" i="28"/>
  <c r="F21" i="29"/>
  <c r="F21" i="30"/>
  <c r="F21" i="31"/>
  <c r="F21" i="11"/>
  <c r="F21" i="12"/>
  <c r="D20"/>
  <c r="D19"/>
  <c r="D18"/>
  <c r="D17"/>
  <c r="D16"/>
  <c r="D15"/>
  <c r="D14"/>
  <c r="D12"/>
  <c r="D11"/>
  <c r="D10"/>
  <c r="D7"/>
  <c r="D29" s="1"/>
  <c r="D6"/>
  <c r="F21" i="13"/>
  <c r="D20"/>
  <c r="D19"/>
  <c r="D18"/>
  <c r="D17"/>
  <c r="D16"/>
  <c r="D15"/>
  <c r="D14"/>
  <c r="D12"/>
  <c r="D11"/>
  <c r="D10"/>
  <c r="D7"/>
  <c r="D29" s="1"/>
  <c r="D6"/>
  <c r="F21" i="14"/>
  <c r="F21" i="15"/>
  <c r="F21" i="10"/>
  <c r="D5"/>
  <c r="F21" i="4"/>
  <c r="D20"/>
  <c r="D19"/>
  <c r="D18"/>
  <c r="D17"/>
  <c r="D16"/>
  <c r="D15"/>
  <c r="D14"/>
  <c r="D12"/>
  <c r="D11"/>
  <c r="D10"/>
  <c r="D7"/>
  <c r="D6"/>
  <c r="F21" i="5"/>
  <c r="F21" i="6"/>
  <c r="F21" i="7"/>
  <c r="F21" i="8"/>
  <c r="F21" i="9"/>
  <c r="D20" i="1"/>
  <c r="D19"/>
  <c r="D18"/>
  <c r="D17"/>
  <c r="D16"/>
  <c r="D15"/>
  <c r="D14"/>
  <c r="D12"/>
  <c r="D11"/>
  <c r="D10"/>
  <c r="D7"/>
  <c r="D30" s="1"/>
  <c r="D6"/>
  <c r="D5" i="141" l="1"/>
  <c r="D5" i="128"/>
  <c r="D19" i="131"/>
  <c r="D20" s="1"/>
  <c r="D19" i="135"/>
  <c r="D20" s="1"/>
  <c r="D21" i="55"/>
  <c r="D22" s="1"/>
  <c r="D21" i="38"/>
  <c r="D22" s="1"/>
  <c r="D21" i="39"/>
  <c r="D22" s="1"/>
  <c r="D21" i="44"/>
  <c r="D22" s="1"/>
  <c r="D5"/>
  <c r="D5" i="47"/>
  <c r="D21" i="49"/>
  <c r="D5"/>
  <c r="D19" i="119"/>
  <c r="D19" i="120"/>
  <c r="D20" s="1"/>
  <c r="D5" i="121"/>
  <c r="D19"/>
  <c r="D19" i="122"/>
  <c r="D5"/>
  <c r="D5" i="123"/>
  <c r="D5" i="124"/>
  <c r="D19"/>
  <c r="D20" s="1"/>
  <c r="D5" i="125"/>
  <c r="D21" i="65"/>
  <c r="D22" s="1"/>
  <c r="D5" i="4"/>
  <c r="D30"/>
  <c r="D5" i="5"/>
  <c r="D5" i="6"/>
  <c r="D5" i="7"/>
  <c r="D21" i="8"/>
  <c r="D5"/>
  <c r="D5" i="146"/>
  <c r="D5" i="147"/>
  <c r="D19"/>
  <c r="D20" s="1"/>
  <c r="D5" i="137"/>
  <c r="D19" i="141"/>
  <c r="D20" s="1"/>
  <c r="D19" i="128"/>
  <c r="D20" s="1"/>
  <c r="D5" i="133"/>
  <c r="D5" i="135"/>
  <c r="D21" i="54"/>
  <c r="D22" s="1"/>
  <c r="D5" i="57"/>
  <c r="D5" i="36"/>
  <c r="D21"/>
  <c r="D22" s="1"/>
  <c r="D5" i="37"/>
  <c r="D5" i="39"/>
  <c r="D5" i="40"/>
  <c r="D21" i="41"/>
  <c r="D5"/>
  <c r="D5" i="127"/>
  <c r="D24"/>
  <c r="D21" i="43"/>
  <c r="D5"/>
  <c r="D21" i="47"/>
  <c r="D22" s="1"/>
  <c r="D5" i="16"/>
  <c r="D21"/>
  <c r="D22" s="1"/>
  <c r="D21" i="32"/>
  <c r="D5"/>
  <c r="D5" i="126"/>
  <c r="D19"/>
  <c r="D5" i="17"/>
  <c r="D21"/>
  <c r="D22" s="1"/>
  <c r="D21" i="19"/>
  <c r="D22" s="1"/>
  <c r="D21" i="109"/>
  <c r="D22" s="1"/>
  <c r="D5" i="24"/>
  <c r="D27"/>
  <c r="D21" i="26"/>
  <c r="D22" s="1"/>
  <c r="D5" i="27"/>
  <c r="D21" i="28"/>
  <c r="D22" s="1"/>
  <c r="D5"/>
  <c r="D21" i="29"/>
  <c r="D22" s="1"/>
  <c r="D5"/>
  <c r="D5" i="30"/>
  <c r="D21"/>
  <c r="D22" s="1"/>
  <c r="D5" i="31"/>
  <c r="D21"/>
  <c r="D22" s="1"/>
  <c r="D5" i="11"/>
  <c r="D21" i="12"/>
  <c r="D22" s="1"/>
  <c r="D5"/>
  <c r="D5" i="13"/>
  <c r="D21"/>
  <c r="D22" s="1"/>
  <c r="D21" i="14"/>
  <c r="D22" s="1"/>
  <c r="D5"/>
  <c r="D21" i="15"/>
  <c r="D22" s="1"/>
  <c r="D5"/>
  <c r="D21" i="4"/>
  <c r="D22" s="1"/>
  <c r="D21" i="5"/>
  <c r="D22" s="1"/>
  <c r="D21" i="6"/>
  <c r="D22" s="1"/>
  <c r="D21" i="7"/>
  <c r="D22" s="1"/>
  <c r="D21" i="9"/>
  <c r="D22" s="1"/>
  <c r="D5"/>
  <c r="D5" i="1"/>
  <c r="D19" i="137"/>
  <c r="D20" s="1"/>
  <c r="D19" i="145"/>
  <c r="D20" s="1"/>
  <c r="D19" i="143"/>
  <c r="D20" s="1"/>
  <c r="D20" i="146"/>
  <c r="D20" i="148"/>
  <c r="D20" i="152"/>
  <c r="D20" i="153"/>
  <c r="D20" i="139"/>
  <c r="D19" i="140"/>
  <c r="D20" s="1"/>
  <c r="D19" i="142"/>
  <c r="D20" s="1"/>
  <c r="D5"/>
  <c r="D19" i="130"/>
  <c r="D20" s="1"/>
  <c r="D20" i="129"/>
  <c r="D20" i="134"/>
  <c r="D21" i="53"/>
  <c r="D22" s="1"/>
  <c r="D21" i="57"/>
  <c r="D22" s="1"/>
  <c r="D21" i="40"/>
  <c r="D22" s="1"/>
  <c r="D19" i="127"/>
  <c r="D20" s="1"/>
  <c r="D22" i="56"/>
  <c r="D22" i="41"/>
  <c r="D22" i="43"/>
  <c r="D21" i="45"/>
  <c r="D22" s="1"/>
  <c r="D20" i="119"/>
  <c r="D20" i="121"/>
  <c r="D20" i="122"/>
  <c r="D20" i="123"/>
  <c r="D20" i="125"/>
  <c r="D20" i="126"/>
  <c r="D21" i="66"/>
  <c r="D22" s="1"/>
  <c r="D5"/>
  <c r="D21" i="25"/>
  <c r="D22" s="1"/>
  <c r="D21" i="27"/>
  <c r="D22" s="1"/>
  <c r="D21" i="11"/>
  <c r="D22" s="1"/>
  <c r="D21" i="10"/>
  <c r="D22" s="1"/>
  <c r="D22" i="49"/>
  <c r="D22" i="32"/>
  <c r="D22" i="33"/>
  <c r="D22" i="34"/>
  <c r="D22" i="35"/>
  <c r="D22" i="18"/>
  <c r="D22" i="21"/>
  <c r="D22" i="22"/>
  <c r="D22" i="23"/>
  <c r="D22" i="24"/>
  <c r="D22" i="8"/>
  <c r="D21" i="1"/>
  <c r="F21" l="1"/>
  <c r="D22" l="1"/>
</calcChain>
</file>

<file path=xl/sharedStrings.xml><?xml version="1.0" encoding="utf-8"?>
<sst xmlns="http://schemas.openxmlformats.org/spreadsheetml/2006/main" count="4252" uniqueCount="43">
  <si>
    <t>№</t>
  </si>
  <si>
    <t>Статья</t>
  </si>
  <si>
    <t>ед.изм.</t>
  </si>
  <si>
    <t>Стоимость</t>
  </si>
  <si>
    <t>содержание жилья</t>
  </si>
  <si>
    <t>ремонт жилья</t>
  </si>
  <si>
    <t>Запланировано по статье "содержание жилья" общего имущества МКД</t>
  </si>
  <si>
    <t>Управление многоквартирным домом</t>
  </si>
  <si>
    <t>Аварийно-диспетчерское сопровожд.</t>
  </si>
  <si>
    <t>Вывоз ТБО</t>
  </si>
  <si>
    <t>Электрика</t>
  </si>
  <si>
    <t>Содержание придомовой территории</t>
  </si>
  <si>
    <t>Уборка лестничных клеток</t>
  </si>
  <si>
    <t>Эксплуатация здания и оборудования</t>
  </si>
  <si>
    <t>Всего затрат</t>
  </si>
  <si>
    <t>Планируемый остаток на конец года</t>
  </si>
  <si>
    <t>Запланировано по статье "ремонт жилья" общего имущества МКД</t>
  </si>
  <si>
    <t>Ремонт жилья:</t>
  </si>
  <si>
    <t>Автоматика</t>
  </si>
  <si>
    <t>Водомерный узел</t>
  </si>
  <si>
    <t>Водосточные трубы</t>
  </si>
  <si>
    <t>Входные двери</t>
  </si>
  <si>
    <t>Запорная арматура (стояки, подвал)</t>
  </si>
  <si>
    <t>Запорно-регулирующая арматура (стояки)</t>
  </si>
  <si>
    <t>КИП</t>
  </si>
  <si>
    <t>Козырьки</t>
  </si>
  <si>
    <t>Обслуживание конструктивных элементов</t>
  </si>
  <si>
    <t>Общестроительные работы</t>
  </si>
  <si>
    <t>Ремоннт ВРУ</t>
  </si>
  <si>
    <t>Трубопровод (розлив)</t>
  </si>
  <si>
    <t>Трубопровод (стоячный)</t>
  </si>
  <si>
    <t>Установка домофонов</t>
  </si>
  <si>
    <t>Чердачные люки</t>
  </si>
  <si>
    <t>Щитовая (ВРУ)</t>
  </si>
  <si>
    <t>Элеваторный узел</t>
  </si>
  <si>
    <t>Плановая сумма доходов на 2013 год</t>
  </si>
  <si>
    <t>Дезинсекция и дератизация</t>
  </si>
  <si>
    <t>Годовой план работ по содержанию и текущему ремонту общего имущества в МКД на 2013 год</t>
  </si>
  <si>
    <t>охрана тепловых узлов</t>
  </si>
  <si>
    <t>руб.</t>
  </si>
  <si>
    <t>составление энергопаспорта</t>
  </si>
  <si>
    <t>услуги банка</t>
  </si>
  <si>
    <t>Теплоизоляция розлива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</si>
</sst>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u/>
      <sz val="8"/>
      <color theme="10"/>
      <name val="Arial"/>
      <family val="2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 applyProtection="1">
      <alignment horizontal="left"/>
      <protection hidden="1"/>
    </xf>
    <xf numFmtId="0" fontId="4" fillId="2" borderId="0" xfId="1" applyFont="1" applyFill="1" applyAlignment="1" applyProtection="1">
      <alignment horizontal="center"/>
      <protection hidden="1"/>
    </xf>
    <xf numFmtId="0" fontId="3" fillId="0" borderId="0" xfId="0" applyFont="1"/>
    <xf numFmtId="0" fontId="2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left"/>
      <protection hidden="1"/>
    </xf>
    <xf numFmtId="0" fontId="2" fillId="0" borderId="1" xfId="0" applyFont="1" applyBorder="1" applyAlignment="1" applyProtection="1">
      <alignment horizontal="left"/>
      <protection hidden="1"/>
    </xf>
    <xf numFmtId="0" fontId="3" fillId="0" borderId="1" xfId="0" applyFont="1" applyBorder="1" applyAlignment="1" applyProtection="1">
      <alignment horizontal="left" indent="2"/>
      <protection hidden="1"/>
    </xf>
    <xf numFmtId="4" fontId="3" fillId="2" borderId="1" xfId="0" applyNumberFormat="1" applyFont="1" applyFill="1" applyBorder="1" applyAlignment="1" applyProtection="1">
      <alignment vertical="center"/>
      <protection hidden="1"/>
    </xf>
    <xf numFmtId="4" fontId="2" fillId="2" borderId="1" xfId="0" applyNumberFormat="1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center"/>
      <protection hidden="1"/>
    </xf>
    <xf numFmtId="4" fontId="2" fillId="0" borderId="1" xfId="0" applyNumberFormat="1" applyFont="1" applyBorder="1" applyAlignment="1" applyProtection="1">
      <alignment horizontal="center"/>
      <protection hidden="1"/>
    </xf>
    <xf numFmtId="4" fontId="3" fillId="0" borderId="1" xfId="0" applyNumberFormat="1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3" fillId="0" borderId="0" xfId="0" applyFont="1" applyAlignment="1">
      <alignment horizontal="center"/>
    </xf>
    <xf numFmtId="0" fontId="3" fillId="0" borderId="3" xfId="0" applyFont="1" applyBorder="1" applyAlignment="1" applyProtection="1">
      <alignment horizontal="center"/>
      <protection hidden="1"/>
    </xf>
    <xf numFmtId="4" fontId="3" fillId="0" borderId="0" xfId="0" applyNumberFormat="1" applyFont="1"/>
    <xf numFmtId="0" fontId="3" fillId="0" borderId="2" xfId="0" applyFont="1" applyBorder="1" applyAlignment="1" applyProtection="1">
      <alignment horizontal="left"/>
      <protection hidden="1"/>
    </xf>
    <xf numFmtId="0" fontId="3" fillId="0" borderId="3" xfId="0" applyFont="1" applyBorder="1" applyAlignment="1" applyProtection="1">
      <alignment horizontal="center"/>
      <protection hidden="1"/>
    </xf>
    <xf numFmtId="2" fontId="3" fillId="0" borderId="0" xfId="0" applyNumberFormat="1" applyFont="1"/>
    <xf numFmtId="164" fontId="3" fillId="0" borderId="4" xfId="0" applyNumberFormat="1" applyFont="1" applyBorder="1" applyAlignment="1" applyProtection="1">
      <alignment horizontal="center"/>
      <protection hidden="1"/>
    </xf>
    <xf numFmtId="164" fontId="3" fillId="0" borderId="1" xfId="0" applyNumberFormat="1" applyFont="1" applyBorder="1" applyAlignment="1" applyProtection="1">
      <alignment horizontal="center"/>
      <protection hidden="1"/>
    </xf>
    <xf numFmtId="4" fontId="5" fillId="0" borderId="5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4" fontId="3" fillId="0" borderId="5" xfId="0" applyNumberFormat="1" applyFont="1" applyBorder="1" applyAlignment="1" applyProtection="1">
      <alignment horizontal="center"/>
      <protection hidden="1"/>
    </xf>
    <xf numFmtId="164" fontId="3" fillId="0" borderId="5" xfId="0" applyNumberFormat="1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F30"/>
  <sheetViews>
    <sheetView topLeftCell="A11" workbookViewId="0">
      <selection activeCell="A30" sqref="A30:XFD37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186486.31200000001</v>
      </c>
    </row>
    <row r="6" spans="1:6">
      <c r="A6" s="5"/>
      <c r="B6" s="7" t="s">
        <v>4</v>
      </c>
      <c r="C6" s="13" t="s">
        <v>39</v>
      </c>
      <c r="D6" s="12">
        <f>830.6*12*14.66</f>
        <v>146119.152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830.6*4.05*12</f>
        <v>40367.159999999996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5" t="s">
        <v>39</v>
      </c>
      <c r="D10" s="20">
        <f>830.6*12*0.29</f>
        <v>2890.4879999999998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830.6*12*2.23</f>
        <v>22226.856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830.6*12*1.85</f>
        <v>18439.320000000003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830.6*12*2.28</f>
        <v>22725.216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830.6*12*1.68</f>
        <v>16744.896000000001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830.6*12*2.05</f>
        <v>20432.759999999998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830.6*12*1.19</f>
        <v>11860.968000000001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830.6*12*2.66</f>
        <v>26512.752000000004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830.6*12*0.06</f>
        <v>598.03200000000004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830.6*12*0.37</f>
        <v>3687.864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166119.152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-20000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18</v>
      </c>
      <c r="C25" s="13" t="s">
        <v>39</v>
      </c>
      <c r="D25" s="12">
        <v>4</v>
      </c>
    </row>
    <row r="26" spans="1:6">
      <c r="A26" s="5"/>
      <c r="B26" s="7" t="s">
        <v>20</v>
      </c>
      <c r="C26" s="13" t="s">
        <v>39</v>
      </c>
      <c r="D26" s="12">
        <v>1500</v>
      </c>
    </row>
    <row r="27" spans="1:6">
      <c r="A27" s="5"/>
      <c r="B27" s="7" t="s">
        <v>21</v>
      </c>
      <c r="C27" s="13" t="s">
        <v>39</v>
      </c>
      <c r="D27" s="12">
        <v>26000</v>
      </c>
    </row>
    <row r="28" spans="1:6">
      <c r="A28" s="5"/>
      <c r="B28" s="7" t="s">
        <v>29</v>
      </c>
      <c r="C28" s="13" t="s">
        <v>39</v>
      </c>
      <c r="D28" s="12">
        <v>15000</v>
      </c>
    </row>
    <row r="29" spans="1:6">
      <c r="A29" s="5"/>
      <c r="B29" s="7" t="s">
        <v>31</v>
      </c>
      <c r="C29" s="13" t="s">
        <v>39</v>
      </c>
      <c r="D29" s="12">
        <v>5000</v>
      </c>
    </row>
    <row r="30" spans="1:6">
      <c r="A30" s="5"/>
      <c r="B30" s="6" t="s">
        <v>15</v>
      </c>
      <c r="C30" s="13" t="s">
        <v>39</v>
      </c>
      <c r="D30" s="12">
        <f>D7-D26-D27-D29-D28-D25</f>
        <v>-7136.8400000000038</v>
      </c>
    </row>
  </sheetData>
  <mergeCells count="3">
    <mergeCell ref="A2:D2"/>
    <mergeCell ref="B9:D9"/>
    <mergeCell ref="B23:D23"/>
  </mergeCells>
  <pageMargins left="0.7" right="0.7" top="0.35" bottom="0.43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F29"/>
  <sheetViews>
    <sheetView topLeftCell="A2" workbookViewId="0">
      <selection activeCell="A25" sqref="A25:XFD29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175529.73599999998</v>
      </c>
    </row>
    <row r="6" spans="1:6">
      <c r="A6" s="5"/>
      <c r="B6" s="7" t="s">
        <v>4</v>
      </c>
      <c r="C6" s="13" t="s">
        <v>39</v>
      </c>
      <c r="D6" s="12">
        <f>781.8*12*14.66</f>
        <v>137534.25599999999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781.8*4.05*12</f>
        <v>37995.479999999996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781.8*12*0.29</f>
        <v>2720.6639999999993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781.8*12*2.23</f>
        <v>20920.967999999997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781.8*12*1.85</f>
        <v>17355.96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781.8*12*2.28</f>
        <v>21390.047999999995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781.8*12*1.68</f>
        <v>15761.087999999996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781.8*12*2.05</f>
        <v>19232.279999999995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781.8*12*1.19</f>
        <v>11164.103999999998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781.8*12*2.66</f>
        <v>24955.055999999997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781.8*12*0.06</f>
        <v>562.89599999999984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781.8*12*0.37</f>
        <v>3471.1919999999996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157534.25599999996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-19999.999999999971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21</v>
      </c>
      <c r="C25" s="13" t="s">
        <v>39</v>
      </c>
      <c r="D25" s="12">
        <v>26000</v>
      </c>
    </row>
    <row r="26" spans="1:6">
      <c r="A26" s="5"/>
      <c r="B26" s="7" t="s">
        <v>28</v>
      </c>
      <c r="C26" s="13" t="s">
        <v>39</v>
      </c>
      <c r="D26" s="12">
        <v>1000</v>
      </c>
    </row>
    <row r="27" spans="1:6">
      <c r="A27" s="5"/>
      <c r="B27" s="7" t="s">
        <v>29</v>
      </c>
      <c r="C27" s="13" t="s">
        <v>39</v>
      </c>
      <c r="D27" s="12">
        <v>15000</v>
      </c>
    </row>
    <row r="28" spans="1:6">
      <c r="A28" s="5"/>
      <c r="B28" s="7" t="s">
        <v>31</v>
      </c>
      <c r="C28" s="13" t="s">
        <v>39</v>
      </c>
      <c r="D28" s="12">
        <v>5000</v>
      </c>
    </row>
    <row r="29" spans="1:6">
      <c r="A29" s="5"/>
      <c r="B29" s="6" t="s">
        <v>15</v>
      </c>
      <c r="C29" s="13" t="s">
        <v>39</v>
      </c>
      <c r="D29" s="11">
        <f>D7-D25-D28-D27-D26</f>
        <v>-9004.5200000000041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F29"/>
  <sheetViews>
    <sheetView topLeftCell="A23" workbookViewId="0">
      <selection activeCell="A28" sqref="A25:XFD28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186486.31200000001</v>
      </c>
    </row>
    <row r="6" spans="1:6">
      <c r="A6" s="5"/>
      <c r="B6" s="7" t="s">
        <v>4</v>
      </c>
      <c r="C6" s="13" t="s">
        <v>39</v>
      </c>
      <c r="D6" s="12">
        <f>830.6*12*14.66</f>
        <v>146119.152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830.6*4.05*12</f>
        <v>40367.159999999996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830.6*12*0.29</f>
        <v>2890.4879999999998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830.6*12*2.23</f>
        <v>22226.856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830.6*12*1.85</f>
        <v>18439.320000000003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830.6*12*2.28</f>
        <v>22725.216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830.6*12*1.68</f>
        <v>16744.896000000001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830.6*12*2.05</f>
        <v>20432.759999999998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830.6*12*1.19</f>
        <v>11860.968000000001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830.6*12*2.66</f>
        <v>26512.752000000004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830.6*12*0.06</f>
        <v>598.03200000000004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830.6*12*0.37</f>
        <v>3687.864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166119.152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-20000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20</v>
      </c>
      <c r="C25" s="13" t="s">
        <v>39</v>
      </c>
      <c r="D25" s="12">
        <v>2500</v>
      </c>
    </row>
    <row r="26" spans="1:6">
      <c r="A26" s="5"/>
      <c r="B26" s="7" t="s">
        <v>24</v>
      </c>
      <c r="C26" s="13" t="s">
        <v>39</v>
      </c>
      <c r="D26" s="12">
        <v>4500</v>
      </c>
    </row>
    <row r="27" spans="1:6">
      <c r="A27" s="5"/>
      <c r="B27" s="7" t="s">
        <v>29</v>
      </c>
      <c r="C27" s="13" t="s">
        <v>39</v>
      </c>
      <c r="D27" s="12">
        <v>15000</v>
      </c>
    </row>
    <row r="28" spans="1:6">
      <c r="A28" s="5"/>
      <c r="B28" s="7" t="s">
        <v>31</v>
      </c>
      <c r="C28" s="13" t="s">
        <v>39</v>
      </c>
      <c r="D28" s="12">
        <v>5000</v>
      </c>
    </row>
    <row r="29" spans="1:6">
      <c r="A29" s="5"/>
      <c r="B29" s="6" t="s">
        <v>15</v>
      </c>
      <c r="C29" s="13" t="s">
        <v>39</v>
      </c>
      <c r="D29" s="11">
        <f>D7-D28-D27-D26-D25</f>
        <v>13367.159999999996</v>
      </c>
    </row>
  </sheetData>
  <mergeCells count="3">
    <mergeCell ref="B23:D23"/>
    <mergeCell ref="A2:D2"/>
    <mergeCell ref="B9:D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F29"/>
  <sheetViews>
    <sheetView topLeftCell="A14" workbookViewId="0">
      <selection activeCell="H40" sqref="H40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186486.31200000001</v>
      </c>
    </row>
    <row r="6" spans="1:6">
      <c r="A6" s="5"/>
      <c r="B6" s="7" t="s">
        <v>4</v>
      </c>
      <c r="C6" s="13" t="s">
        <v>39</v>
      </c>
      <c r="D6" s="12">
        <f>830.6*12*14.66</f>
        <v>146119.152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830.6*4.05*12</f>
        <v>40367.159999999996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830.6*12*0.29</f>
        <v>2890.4879999999998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830.6*12*2.23</f>
        <v>22226.856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830.6*12*1.85</f>
        <v>18439.320000000003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830.6*12*2.28</f>
        <v>22725.216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830.6*12*1.68</f>
        <v>16744.896000000001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830.6*12*2.05</f>
        <v>20432.759999999998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830.6*12*1.19</f>
        <v>11860.968000000001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830.6*12*2.66</f>
        <v>26512.752000000004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830.6*12*0.06</f>
        <v>598.03200000000004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830.6*12*0.37</f>
        <v>3687.864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166119.152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-20000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21</v>
      </c>
      <c r="C25" s="13" t="s">
        <v>39</v>
      </c>
      <c r="D25" s="12">
        <v>26000</v>
      </c>
    </row>
    <row r="26" spans="1:6">
      <c r="A26" s="5"/>
      <c r="B26" s="7" t="s">
        <v>29</v>
      </c>
      <c r="C26" s="13" t="s">
        <v>39</v>
      </c>
      <c r="D26" s="12">
        <v>15000</v>
      </c>
    </row>
    <row r="27" spans="1:6">
      <c r="A27" s="5"/>
      <c r="B27" s="7" t="s">
        <v>31</v>
      </c>
      <c r="C27" s="13" t="s">
        <v>39</v>
      </c>
      <c r="D27" s="12">
        <v>5000</v>
      </c>
    </row>
    <row r="28" spans="1:6">
      <c r="A28" s="5"/>
      <c r="B28" s="7" t="s">
        <v>33</v>
      </c>
      <c r="C28" s="13" t="s">
        <v>39</v>
      </c>
      <c r="D28" s="12">
        <v>2000</v>
      </c>
    </row>
    <row r="29" spans="1:6">
      <c r="A29" s="5"/>
      <c r="B29" s="6" t="s">
        <v>15</v>
      </c>
      <c r="C29" s="13" t="s">
        <v>39</v>
      </c>
      <c r="D29" s="11">
        <f>D7-D25-D27-D28-D26</f>
        <v>-7632.8400000000038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1:F27"/>
  <sheetViews>
    <sheetView topLeftCell="A8" workbookViewId="0">
      <selection activeCell="E32" sqref="E32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86283.036000000007</v>
      </c>
    </row>
    <row r="6" spans="1:6">
      <c r="A6" s="5"/>
      <c r="B6" s="7" t="s">
        <v>4</v>
      </c>
      <c r="C6" s="13" t="s">
        <v>39</v>
      </c>
      <c r="D6" s="12">
        <f>384.3*12*14.66</f>
        <v>67606.056000000011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384.3*4.05*12</f>
        <v>18676.98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384.3*12*0.29</f>
        <v>1337.364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384.3*12*2.23</f>
        <v>10283.868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384.3*12*1.85</f>
        <v>8531.4600000000009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384.3*12*2.28</f>
        <v>10514.448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384.3*12*1.68</f>
        <v>7747.4880000000003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384.3*12*2.05</f>
        <v>9453.7800000000007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384.3*12*1.19</f>
        <v>5487.8040000000001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384.3*12*2.66</f>
        <v>12266.856000000002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384.3*12*0.06</f>
        <v>276.69600000000003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384.3*12*0.37</f>
        <v>1706.2920000000001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87606.056000000011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-20000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29</v>
      </c>
      <c r="C25" s="13" t="s">
        <v>39</v>
      </c>
      <c r="D25" s="12">
        <v>15000</v>
      </c>
    </row>
    <row r="26" spans="1:6" ht="11.4" customHeight="1">
      <c r="A26" s="5"/>
      <c r="B26" s="7" t="s">
        <v>31</v>
      </c>
      <c r="C26" s="13" t="s">
        <v>39</v>
      </c>
      <c r="D26" s="12">
        <v>5000</v>
      </c>
    </row>
    <row r="27" spans="1:6">
      <c r="A27" s="5"/>
      <c r="B27" s="6" t="s">
        <v>15</v>
      </c>
      <c r="C27" s="13" t="s">
        <v>39</v>
      </c>
      <c r="D27" s="11">
        <f>D7-D26-D25</f>
        <v>-1323.0200000000004</v>
      </c>
    </row>
  </sheetData>
  <mergeCells count="3">
    <mergeCell ref="B23:D23"/>
    <mergeCell ref="A2:D2"/>
    <mergeCell ref="B9:D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F28"/>
  <sheetViews>
    <sheetView workbookViewId="0">
      <selection activeCell="A29" sqref="A25:XFD29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89022.18</v>
      </c>
    </row>
    <row r="6" spans="1:6">
      <c r="A6" s="5"/>
      <c r="B6" s="7" t="s">
        <v>4</v>
      </c>
      <c r="C6" s="13" t="s">
        <v>39</v>
      </c>
      <c r="D6" s="12">
        <f>396.5*12*14.66</f>
        <v>69752.28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396.5*4.05*12</f>
        <v>19269.899999999998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396.5*12*0.29</f>
        <v>1379.82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396.5*12*2.23</f>
        <v>10610.34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396.5*12*1.85</f>
        <v>8802.3000000000011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396.5*12*2.28</f>
        <v>10848.24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396.5*12*1.68</f>
        <v>7993.44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396.5*12*2.05</f>
        <v>9753.9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396.5*12*1.19</f>
        <v>5662.0199999999995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396.5*12*2.66</f>
        <v>12656.28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396.5*12*0.06</f>
        <v>285.47999999999996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396.5*12*0.37</f>
        <v>1760.46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89752.280000000013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-20000.000000000015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21</v>
      </c>
      <c r="C25" s="13" t="s">
        <v>39</v>
      </c>
      <c r="D25" s="12">
        <v>26000</v>
      </c>
    </row>
    <row r="26" spans="1:6">
      <c r="A26" s="5"/>
      <c r="B26" s="7" t="s">
        <v>29</v>
      </c>
      <c r="C26" s="13" t="s">
        <v>39</v>
      </c>
      <c r="D26" s="12">
        <v>15000</v>
      </c>
    </row>
    <row r="27" spans="1:6">
      <c r="A27" s="5"/>
      <c r="B27" s="7" t="s">
        <v>31</v>
      </c>
      <c r="C27" s="13" t="s">
        <v>39</v>
      </c>
      <c r="D27" s="12">
        <v>5000</v>
      </c>
    </row>
    <row r="28" spans="1:6">
      <c r="A28" s="5"/>
      <c r="B28" s="6" t="s">
        <v>15</v>
      </c>
      <c r="C28" s="13" t="s">
        <v>39</v>
      </c>
      <c r="D28" s="11">
        <f>D7-D25-D27-D26</f>
        <v>-26730.100000000002</v>
      </c>
    </row>
  </sheetData>
  <mergeCells count="3">
    <mergeCell ref="A2:D2"/>
    <mergeCell ref="B9:D9"/>
    <mergeCell ref="B23:D23"/>
  </mergeCells>
  <dataValidations count="1">
    <dataValidation type="list" allowBlank="1" showInputMessage="1" showErrorMessage="1" sqref="B5:D5">
      <formula1>Адреса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F29"/>
  <sheetViews>
    <sheetView topLeftCell="A13" workbookViewId="0">
      <selection activeCell="A29" sqref="A25:XFD29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86103.420000000013</v>
      </c>
    </row>
    <row r="6" spans="1:6">
      <c r="A6" s="5"/>
      <c r="B6" s="7" t="s">
        <v>4</v>
      </c>
      <c r="C6" s="13" t="s">
        <v>39</v>
      </c>
      <c r="D6" s="12">
        <f>383.5*12*14.66</f>
        <v>67465.320000000007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383.5*4.05*12</f>
        <v>18638.099999999999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383.5*12*0.29</f>
        <v>1334.58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383.5*12*2.23</f>
        <v>10262.459999999999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383.5*12*1.85</f>
        <v>8513.7000000000007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383.5*12*2.28</f>
        <v>10492.56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383.5*12*1.68</f>
        <v>7731.36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383.5*12*2.05</f>
        <v>9434.0999999999985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383.5*12*1.19</f>
        <v>5476.38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383.5*12*2.66</f>
        <v>12241.320000000002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383.5*12*0.06</f>
        <v>276.12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383.5*12*0.37</f>
        <v>1702.74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87465.319999999992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-19999.999999999985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21</v>
      </c>
      <c r="C25" s="13" t="s">
        <v>39</v>
      </c>
      <c r="D25" s="12">
        <v>26000</v>
      </c>
    </row>
    <row r="26" spans="1:6">
      <c r="A26" s="5"/>
      <c r="B26" s="7" t="s">
        <v>24</v>
      </c>
      <c r="C26" s="13" t="s">
        <v>39</v>
      </c>
      <c r="D26" s="12">
        <v>4500</v>
      </c>
    </row>
    <row r="27" spans="1:6">
      <c r="A27" s="5"/>
      <c r="B27" s="7" t="s">
        <v>29</v>
      </c>
      <c r="C27" s="13" t="s">
        <v>39</v>
      </c>
      <c r="D27" s="12">
        <v>15000</v>
      </c>
    </row>
    <row r="28" spans="1:6">
      <c r="A28" s="5"/>
      <c r="B28" s="7" t="s">
        <v>31</v>
      </c>
      <c r="C28" s="13" t="s">
        <v>39</v>
      </c>
      <c r="D28" s="12">
        <v>5000</v>
      </c>
    </row>
    <row r="29" spans="1:6">
      <c r="A29" s="5"/>
      <c r="B29" s="6" t="s">
        <v>15</v>
      </c>
      <c r="C29" s="13" t="s">
        <v>39</v>
      </c>
      <c r="D29" s="11">
        <f>D7-D25-D28-D27-D26</f>
        <v>-31861.9</v>
      </c>
    </row>
  </sheetData>
  <mergeCells count="3">
    <mergeCell ref="B23:D23"/>
    <mergeCell ref="A2:D2"/>
    <mergeCell ref="B9:D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F28"/>
  <sheetViews>
    <sheetView topLeftCell="A13" workbookViewId="0">
      <selection activeCell="A28" sqref="A25:XFD28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85497.216000000015</v>
      </c>
    </row>
    <row r="6" spans="1:6">
      <c r="A6" s="5"/>
      <c r="B6" s="7" t="s">
        <v>4</v>
      </c>
      <c r="C6" s="13" t="s">
        <v>39</v>
      </c>
      <c r="D6" s="12">
        <f>380.8*12*14.66</f>
        <v>66990.33600000001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380.8*4.05*12</f>
        <v>18506.88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380.8*12*0.29</f>
        <v>1325.184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380.8*12*2.23</f>
        <v>10190.208000000001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380.8*12*1.85</f>
        <v>8453.76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380.8*12*2.28</f>
        <v>10418.688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380.8*12*1.68</f>
        <v>7676.9279999999999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380.8*12*2.05</f>
        <v>9367.68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380.8*12*1.19</f>
        <v>5437.8240000000005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380.8*12*2.66</f>
        <v>12155.136000000002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380.8*12*0.06</f>
        <v>274.17599999999999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380.8*12*0.37</f>
        <v>1690.7520000000002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86990.335999999996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-19999.999999999985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20</v>
      </c>
      <c r="C25" s="13" t="s">
        <v>39</v>
      </c>
      <c r="D25" s="12">
        <v>26000</v>
      </c>
    </row>
    <row r="26" spans="1:6">
      <c r="A26" s="5"/>
      <c r="B26" s="7" t="s">
        <v>29</v>
      </c>
      <c r="C26" s="13" t="s">
        <v>39</v>
      </c>
      <c r="D26" s="12">
        <v>15000</v>
      </c>
    </row>
    <row r="27" spans="1:6">
      <c r="A27" s="5"/>
      <c r="B27" s="7" t="s">
        <v>31</v>
      </c>
      <c r="C27" s="13" t="s">
        <v>39</v>
      </c>
      <c r="D27" s="12">
        <v>5000</v>
      </c>
    </row>
    <row r="28" spans="1:6">
      <c r="A28" s="5"/>
      <c r="B28" s="6" t="s">
        <v>15</v>
      </c>
      <c r="C28" s="13" t="s">
        <v>39</v>
      </c>
      <c r="D28" s="11">
        <f>D7-D25-D27-D26</f>
        <v>-27493.119999999999</v>
      </c>
    </row>
  </sheetData>
  <mergeCells count="3">
    <mergeCell ref="A2:D2"/>
    <mergeCell ref="B9:D9"/>
    <mergeCell ref="B23:D23"/>
  </mergeCells>
  <dataValidations count="1">
    <dataValidation type="list" allowBlank="1" showInputMessage="1" showErrorMessage="1" sqref="B5:D5">
      <formula1>Адреса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F29"/>
  <sheetViews>
    <sheetView topLeftCell="A9" workbookViewId="0">
      <selection activeCell="D39" sqref="D39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84262.356000000014</v>
      </c>
    </row>
    <row r="6" spans="1:6">
      <c r="A6" s="5"/>
      <c r="B6" s="7" t="s">
        <v>4</v>
      </c>
      <c r="C6" s="13" t="s">
        <v>39</v>
      </c>
      <c r="D6" s="12">
        <f>375.3*12*14.66</f>
        <v>66022.776000000013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375.3*4.05*12</f>
        <v>18239.579999999998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375.3*12*0.29</f>
        <v>1306.0440000000001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375.3*12*2.23</f>
        <v>10043.028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375.3*12*1.85</f>
        <v>8331.6600000000017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375.3*12*2.28</f>
        <v>10268.208000000001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375.3*12*1.68</f>
        <v>7566.0480000000007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375.3*12*2.05</f>
        <v>9232.3799999999992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375.3*12*1.19</f>
        <v>5359.2840000000006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375.3*12*2.66</f>
        <v>11979.576000000001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375.3*12*0.06</f>
        <v>270.21600000000001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375.3*12*0.37</f>
        <v>1666.3320000000001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86022.775999999998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-19999.999999999985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21</v>
      </c>
      <c r="C25" s="13" t="s">
        <v>39</v>
      </c>
      <c r="D25" s="12">
        <v>26000</v>
      </c>
    </row>
    <row r="26" spans="1:6">
      <c r="A26" s="5"/>
      <c r="B26" s="7" t="s">
        <v>29</v>
      </c>
      <c r="C26" s="13" t="s">
        <v>39</v>
      </c>
      <c r="D26" s="12">
        <v>15000</v>
      </c>
    </row>
    <row r="27" spans="1:6">
      <c r="A27" s="5"/>
      <c r="B27" s="7" t="s">
        <v>31</v>
      </c>
      <c r="C27" s="13" t="s">
        <v>39</v>
      </c>
      <c r="D27" s="12">
        <v>5000</v>
      </c>
    </row>
    <row r="28" spans="1:6">
      <c r="A28" s="5"/>
      <c r="B28" s="7" t="s">
        <v>33</v>
      </c>
      <c r="C28" s="13" t="s">
        <v>39</v>
      </c>
      <c r="D28" s="12">
        <v>2500</v>
      </c>
    </row>
    <row r="29" spans="1:6">
      <c r="A29" s="5"/>
      <c r="B29" s="6" t="s">
        <v>15</v>
      </c>
      <c r="C29" s="13" t="s">
        <v>39</v>
      </c>
      <c r="D29" s="11">
        <f>D7-D25-D27-D26-D28</f>
        <v>-30260.420000000002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1:F30"/>
  <sheetViews>
    <sheetView topLeftCell="A14" workbookViewId="0">
      <selection activeCell="C35" sqref="C35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84823.656000000003</v>
      </c>
    </row>
    <row r="6" spans="1:6">
      <c r="A6" s="5"/>
      <c r="B6" s="7" t="s">
        <v>4</v>
      </c>
      <c r="C6" s="13" t="s">
        <v>39</v>
      </c>
      <c r="D6" s="12">
        <f>377.8*12*14.66</f>
        <v>66462.576000000001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377.8*4.05*12</f>
        <v>18361.079999999998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377.8*12*0.29</f>
        <v>1314.7439999999999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377.8*12*2.23</f>
        <v>10109.928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377.8*12*1.85</f>
        <v>8387.1600000000017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377.8*12*2.28</f>
        <v>10336.608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377.8*12*1.68</f>
        <v>7616.4480000000003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377.8*12*2.05</f>
        <v>9293.8799999999992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377.8*12*1.19</f>
        <v>5394.9840000000004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377.8*12*2.66</f>
        <v>12059.376000000002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377.8*12*0.06</f>
        <v>272.01600000000002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377.8*12*0.37</f>
        <v>1677.432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86462.576000000015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-20000.000000000015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19</v>
      </c>
      <c r="C25" s="13" t="s">
        <v>39</v>
      </c>
      <c r="D25" s="27">
        <v>1800</v>
      </c>
    </row>
    <row r="26" spans="1:6">
      <c r="A26" s="5"/>
      <c r="B26" s="7" t="s">
        <v>20</v>
      </c>
      <c r="C26" s="13" t="s">
        <v>39</v>
      </c>
      <c r="D26" s="28">
        <v>1500</v>
      </c>
    </row>
    <row r="27" spans="1:6">
      <c r="A27" s="5"/>
      <c r="B27" s="7" t="s">
        <v>21</v>
      </c>
      <c r="C27" s="13" t="s">
        <v>39</v>
      </c>
      <c r="D27" s="27">
        <v>26000</v>
      </c>
    </row>
    <row r="28" spans="1:6">
      <c r="A28" s="5"/>
      <c r="B28" s="7" t="s">
        <v>29</v>
      </c>
      <c r="C28" s="13" t="s">
        <v>39</v>
      </c>
      <c r="D28" s="27">
        <v>15000</v>
      </c>
    </row>
    <row r="29" spans="1:6">
      <c r="A29" s="5"/>
      <c r="B29" s="7" t="s">
        <v>31</v>
      </c>
      <c r="C29" s="13" t="s">
        <v>39</v>
      </c>
      <c r="D29" s="27">
        <v>5000</v>
      </c>
    </row>
    <row r="30" spans="1:6">
      <c r="A30" s="5"/>
      <c r="B30" s="6" t="s">
        <v>15</v>
      </c>
      <c r="C30" s="13" t="s">
        <v>39</v>
      </c>
      <c r="D30" s="11">
        <f>D7-D27-D29-D28-D26-D25</f>
        <v>-30938.920000000002</v>
      </c>
    </row>
  </sheetData>
  <mergeCells count="3">
    <mergeCell ref="B23:D23"/>
    <mergeCell ref="A2:D2"/>
    <mergeCell ref="B9:D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</sheetPr>
  <dimension ref="A1:F29"/>
  <sheetViews>
    <sheetView topLeftCell="A9" workbookViewId="0">
      <selection activeCell="A29" sqref="A29:XFD31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189292.81200000001</v>
      </c>
    </row>
    <row r="6" spans="1:6">
      <c r="A6" s="5"/>
      <c r="B6" s="7" t="s">
        <v>4</v>
      </c>
      <c r="C6" s="13" t="s">
        <v>39</v>
      </c>
      <c r="D6" s="12">
        <f>843.1*12*14.66</f>
        <v>148318.152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843.1*4.05*12</f>
        <v>40974.659999999996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843.1*12*0.29</f>
        <v>2933.9879999999998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843.1*12*2.23</f>
        <v>22561.356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843.1*12*1.85</f>
        <v>18716.820000000003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843.1*12*2.28</f>
        <v>23067.216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843.1*12*1.68</f>
        <v>16996.896000000001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843.1*12*2.05</f>
        <v>20740.259999999998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843.1*12*1.19</f>
        <v>12039.468000000001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843.1*12*2.66</f>
        <v>26911.752000000004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843.1*12*0.06</f>
        <v>607.03200000000004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843.1*12*0.37</f>
        <v>3743.364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168318.152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-20000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22</v>
      </c>
      <c r="C25" s="13" t="s">
        <v>39</v>
      </c>
      <c r="D25" s="12">
        <v>500</v>
      </c>
    </row>
    <row r="26" spans="1:6">
      <c r="A26" s="5"/>
      <c r="B26" s="7" t="s">
        <v>42</v>
      </c>
      <c r="C26" s="13" t="s">
        <v>39</v>
      </c>
      <c r="D26" s="12">
        <v>16000</v>
      </c>
    </row>
    <row r="27" spans="1:6">
      <c r="A27" s="5"/>
      <c r="B27" s="7" t="s">
        <v>31</v>
      </c>
      <c r="C27" s="13" t="s">
        <v>39</v>
      </c>
      <c r="D27" s="12">
        <v>5000</v>
      </c>
    </row>
    <row r="28" spans="1:6">
      <c r="A28" s="5"/>
      <c r="B28" s="7" t="s">
        <v>33</v>
      </c>
      <c r="C28" s="13" t="s">
        <v>39</v>
      </c>
      <c r="D28" s="12">
        <v>1200</v>
      </c>
    </row>
    <row r="29" spans="1:6">
      <c r="A29" s="5"/>
      <c r="B29" s="6" t="s">
        <v>15</v>
      </c>
      <c r="C29" s="13" t="s">
        <v>39</v>
      </c>
      <c r="D29" s="11">
        <f>D7-D26-D27-D25-D28</f>
        <v>18274.659999999996</v>
      </c>
    </row>
  </sheetData>
  <mergeCells count="3">
    <mergeCell ref="A2:D2"/>
    <mergeCell ref="B23:D23"/>
    <mergeCell ref="B9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F29"/>
  <sheetViews>
    <sheetView topLeftCell="A10" workbookViewId="0">
      <selection activeCell="A29" sqref="A29:XFD38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180738.6</v>
      </c>
    </row>
    <row r="6" spans="1:6">
      <c r="A6" s="5"/>
      <c r="B6" s="7" t="s">
        <v>4</v>
      </c>
      <c r="C6" s="13" t="s">
        <v>39</v>
      </c>
      <c r="D6" s="12">
        <f>805*12*14.66</f>
        <v>141615.6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805*4.05*12</f>
        <v>39123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805*12*0.29</f>
        <v>2801.3999999999996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805*12*2.23</f>
        <v>21541.8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805*12*1.85</f>
        <v>17871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805*12*2.28</f>
        <v>22024.799999999999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805*12*1.68</f>
        <v>16228.8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805*12*2.05</f>
        <v>19803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805*12*1.19</f>
        <v>11495.4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805*12*2.66</f>
        <v>25695.600000000002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805*12*0.06</f>
        <v>579.6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805*12*0.37</f>
        <v>3574.2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161615.6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-20000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21</v>
      </c>
      <c r="C25" s="13" t="s">
        <v>39</v>
      </c>
      <c r="D25" s="12">
        <v>26000</v>
      </c>
    </row>
    <row r="26" spans="1:6">
      <c r="A26" s="5"/>
      <c r="B26" s="7" t="s">
        <v>22</v>
      </c>
      <c r="C26" s="13" t="s">
        <v>39</v>
      </c>
      <c r="D26" s="12">
        <v>1200</v>
      </c>
    </row>
    <row r="27" spans="1:6">
      <c r="A27" s="5"/>
      <c r="B27" s="7" t="s">
        <v>29</v>
      </c>
      <c r="C27" s="13" t="s">
        <v>39</v>
      </c>
      <c r="D27" s="12">
        <v>15000</v>
      </c>
    </row>
    <row r="28" spans="1:6">
      <c r="A28" s="5"/>
      <c r="B28" s="7" t="s">
        <v>31</v>
      </c>
      <c r="C28" s="13" t="s">
        <v>39</v>
      </c>
      <c r="D28" s="12">
        <v>5000</v>
      </c>
    </row>
    <row r="29" spans="1:6">
      <c r="A29" s="5"/>
      <c r="B29" s="6" t="s">
        <v>15</v>
      </c>
      <c r="C29" s="13" t="s">
        <v>39</v>
      </c>
      <c r="D29" s="11">
        <f>D7-D25-D28-D27</f>
        <v>-6877</v>
      </c>
    </row>
  </sheetData>
  <mergeCells count="3">
    <mergeCell ref="B23:D23"/>
    <mergeCell ref="A2:D2"/>
    <mergeCell ref="B9:D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F27"/>
  <sheetViews>
    <sheetView topLeftCell="A8" workbookViewId="0">
      <selection activeCell="A72" sqref="A25:XFD72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194075.08799999999</v>
      </c>
    </row>
    <row r="6" spans="1:6">
      <c r="A6" s="5"/>
      <c r="B6" s="7" t="s">
        <v>4</v>
      </c>
      <c r="C6" s="13" t="s">
        <v>39</v>
      </c>
      <c r="D6" s="12">
        <f>864.4*12*14.66</f>
        <v>152065.24799999999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864.4*4.05*12</f>
        <v>42009.84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864.4*12*0.29</f>
        <v>3008.1119999999996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864.4*12*2.23</f>
        <v>23131.343999999997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864.4*12*1.85</f>
        <v>19189.68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864.4*12*2.28</f>
        <v>23649.983999999997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864.4*12*1.68</f>
        <v>17426.303999999996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864.4*12*2.05</f>
        <v>21264.239999999998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864.4*12*1.19</f>
        <v>12343.631999999998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864.4*12*2.66</f>
        <v>27591.648000000001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864.4*12*0.06</f>
        <v>622.36799999999994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864.4*12*0.37</f>
        <v>3837.9359999999997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172065.24799999999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-20000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42</v>
      </c>
      <c r="C25" s="13" t="s">
        <v>39</v>
      </c>
      <c r="D25" s="12">
        <v>16000</v>
      </c>
    </row>
    <row r="26" spans="1:6">
      <c r="A26" s="5"/>
      <c r="B26" s="7" t="s">
        <v>31</v>
      </c>
      <c r="C26" s="13" t="s">
        <v>39</v>
      </c>
      <c r="D26" s="12">
        <v>5000</v>
      </c>
    </row>
    <row r="27" spans="1:6">
      <c r="A27" s="5"/>
      <c r="B27" s="6" t="s">
        <v>15</v>
      </c>
      <c r="C27" s="13" t="s">
        <v>39</v>
      </c>
      <c r="D27" s="11">
        <f>D7-D25-D26</f>
        <v>21009.839999999997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F28"/>
  <sheetViews>
    <sheetView topLeftCell="A11" workbookViewId="0">
      <selection activeCell="G39" sqref="G39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187114.96799999999</v>
      </c>
    </row>
    <row r="6" spans="1:6">
      <c r="A6" s="5"/>
      <c r="B6" s="7" t="s">
        <v>4</v>
      </c>
      <c r="C6" s="13" t="s">
        <v>39</v>
      </c>
      <c r="D6" s="12">
        <f>833.4*12*14.66</f>
        <v>146611.728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833.4*4.05*12</f>
        <v>40503.24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833.4*12*0.29</f>
        <v>2900.2319999999995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833.4*12*2.23</f>
        <v>22301.784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833.4*12*1.85</f>
        <v>18501.48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833.4*12*2.28</f>
        <v>22801.823999999997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833.4*12*1.68</f>
        <v>16801.343999999997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833.4*12*2.05</f>
        <v>20501.639999999996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833.4*12*1.19</f>
        <v>11900.951999999999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833.4*12*2.66</f>
        <v>26602.128000000001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833.4*12*0.06</f>
        <v>600.04799999999989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833.4*12*0.37</f>
        <v>3700.2959999999998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166611.72799999997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-19999.999999999971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19</v>
      </c>
      <c r="C25" s="13" t="s">
        <v>39</v>
      </c>
      <c r="D25" s="12">
        <v>500</v>
      </c>
    </row>
    <row r="26" spans="1:6">
      <c r="A26" s="5"/>
      <c r="B26" s="7" t="s">
        <v>42</v>
      </c>
      <c r="C26" s="13" t="s">
        <v>39</v>
      </c>
      <c r="D26" s="12">
        <v>16000</v>
      </c>
    </row>
    <row r="27" spans="1:6">
      <c r="A27" s="5"/>
      <c r="B27" s="7" t="s">
        <v>31</v>
      </c>
      <c r="C27" s="13" t="s">
        <v>39</v>
      </c>
      <c r="D27" s="12">
        <v>5000</v>
      </c>
    </row>
    <row r="28" spans="1:6">
      <c r="A28" s="5"/>
      <c r="B28" s="6" t="s">
        <v>15</v>
      </c>
      <c r="C28" s="13" t="s">
        <v>39</v>
      </c>
      <c r="D28" s="11">
        <f>D7-D26-D27-D25</f>
        <v>19003.239999999998</v>
      </c>
    </row>
  </sheetData>
  <mergeCells count="3">
    <mergeCell ref="B23:D23"/>
    <mergeCell ref="A2:D2"/>
    <mergeCell ref="B9:D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F27"/>
  <sheetViews>
    <sheetView topLeftCell="A8" workbookViewId="0">
      <selection activeCell="A71" sqref="A25:XFD71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189135.64799999999</v>
      </c>
    </row>
    <row r="6" spans="1:6">
      <c r="A6" s="5"/>
      <c r="B6" s="7" t="s">
        <v>4</v>
      </c>
      <c r="C6" s="13" t="s">
        <v>39</v>
      </c>
      <c r="D6" s="12">
        <f>842.4*12*14.66</f>
        <v>148195.008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842.4*4.05*12</f>
        <v>40940.639999999999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842.4*12*0.29</f>
        <v>2931.5519999999997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842.4*12*2.23</f>
        <v>22542.624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842.4*12*1.85</f>
        <v>18701.28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842.4*12*2.28</f>
        <v>23048.063999999995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842.4*12*1.68</f>
        <v>16982.784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842.4*12*2.05</f>
        <v>20723.039999999997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842.4*12*1.19</f>
        <v>12029.471999999998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842.4*12*2.66</f>
        <v>26889.407999999999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842.4*12*0.06</f>
        <v>606.52799999999991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842.4*12*0.37</f>
        <v>3740.2559999999999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168195.008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-20000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42</v>
      </c>
      <c r="C25" s="13" t="s">
        <v>39</v>
      </c>
      <c r="D25" s="12">
        <v>16000</v>
      </c>
    </row>
    <row r="26" spans="1:6">
      <c r="A26" s="5"/>
      <c r="B26" s="7" t="s">
        <v>31</v>
      </c>
      <c r="C26" s="13" t="s">
        <v>39</v>
      </c>
      <c r="D26" s="12">
        <v>5000</v>
      </c>
    </row>
    <row r="27" spans="1:6">
      <c r="A27" s="5"/>
      <c r="B27" s="6" t="s">
        <v>15</v>
      </c>
      <c r="C27" s="13" t="s">
        <v>39</v>
      </c>
      <c r="D27" s="11">
        <f>D7-D25-D26</f>
        <v>19940.64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F28"/>
  <sheetViews>
    <sheetView topLeftCell="A14" workbookViewId="0">
      <selection activeCell="H40" sqref="H40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190213.34400000004</v>
      </c>
    </row>
    <row r="6" spans="1:6">
      <c r="A6" s="5"/>
      <c r="B6" s="7" t="s">
        <v>4</v>
      </c>
      <c r="C6" s="13" t="s">
        <v>39</v>
      </c>
      <c r="D6" s="12">
        <f>847.2*12*14.66</f>
        <v>149039.42400000003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847.2*4.05*12</f>
        <v>41173.919999999998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847.2*12*0.29</f>
        <v>2948.2560000000003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847.2*12*2.23</f>
        <v>22671.072000000004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847.2*12*1.85</f>
        <v>18807.840000000004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847.2*12*2.28</f>
        <v>23179.392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847.2*12*1.68</f>
        <v>17079.552000000003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847.2*12*2.05</f>
        <v>20841.120000000003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847.2*12*1.19</f>
        <v>12098.016000000001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847.2*12*2.66</f>
        <v>27042.624000000007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847.2*12*0.06</f>
        <v>609.98400000000004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847.2*12*0.37</f>
        <v>3761.5680000000007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169039.42400000003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-20000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21</v>
      </c>
      <c r="C25" s="13" t="s">
        <v>39</v>
      </c>
      <c r="D25" s="12">
        <v>26000</v>
      </c>
    </row>
    <row r="26" spans="1:6">
      <c r="A26" s="5"/>
      <c r="B26" s="7" t="s">
        <v>29</v>
      </c>
      <c r="C26" s="13" t="s">
        <v>39</v>
      </c>
      <c r="D26" s="12">
        <v>15000</v>
      </c>
    </row>
    <row r="27" spans="1:6">
      <c r="A27" s="5"/>
      <c r="B27" s="7" t="s">
        <v>31</v>
      </c>
      <c r="C27" s="13" t="s">
        <v>39</v>
      </c>
      <c r="D27" s="12">
        <v>5000</v>
      </c>
    </row>
    <row r="28" spans="1:6">
      <c r="A28" s="5"/>
      <c r="B28" s="6" t="s">
        <v>15</v>
      </c>
      <c r="C28" s="13" t="s">
        <v>39</v>
      </c>
      <c r="D28" s="11">
        <f>D7-D25-D27-D26</f>
        <v>-4826.0800000000017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F30"/>
  <sheetViews>
    <sheetView topLeftCell="A14" workbookViewId="0">
      <selection activeCell="H46" sqref="H4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191335.94400000002</v>
      </c>
    </row>
    <row r="6" spans="1:6">
      <c r="A6" s="5"/>
      <c r="B6" s="7" t="s">
        <v>4</v>
      </c>
      <c r="C6" s="13" t="s">
        <v>39</v>
      </c>
      <c r="D6" s="12">
        <f>852.2*12*14.66</f>
        <v>149919.02400000003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852.2*4.05*12</f>
        <v>41416.92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852.2*12*0.29</f>
        <v>2965.6560000000004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852.2*12*2.23</f>
        <v>22804.872000000003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852.2*12*1.85</f>
        <v>18918.840000000004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852.2*12*2.28</f>
        <v>23316.192000000003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852.2*12*1.68</f>
        <v>17180.352000000003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852.2*12*2.05</f>
        <v>20964.120000000003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852.2*12*1.19</f>
        <v>12169.416000000001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852.2*12*2.66</f>
        <v>27202.224000000006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852.2*12*0.06</f>
        <v>613.58400000000006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852.2*12*0.37</f>
        <v>3783.7680000000005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169919.024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-19999.999999999971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20</v>
      </c>
      <c r="C25" s="13" t="s">
        <v>39</v>
      </c>
      <c r="D25" s="12">
        <v>3500</v>
      </c>
    </row>
    <row r="26" spans="1:6">
      <c r="A26" s="5"/>
      <c r="B26" s="7" t="s">
        <v>21</v>
      </c>
      <c r="C26" s="13" t="s">
        <v>39</v>
      </c>
      <c r="D26" s="12">
        <v>26000</v>
      </c>
    </row>
    <row r="27" spans="1:6">
      <c r="A27" s="5"/>
      <c r="B27" s="7" t="s">
        <v>29</v>
      </c>
      <c r="C27" s="13" t="s">
        <v>39</v>
      </c>
      <c r="D27" s="12">
        <v>15000</v>
      </c>
    </row>
    <row r="28" spans="1:6">
      <c r="A28" s="5"/>
      <c r="B28" s="7" t="s">
        <v>31</v>
      </c>
      <c r="C28" s="13" t="s">
        <v>39</v>
      </c>
      <c r="D28" s="12">
        <v>5000</v>
      </c>
    </row>
    <row r="29" spans="1:6">
      <c r="A29" s="5"/>
      <c r="B29" s="7" t="s">
        <v>33</v>
      </c>
      <c r="C29" s="13" t="s">
        <v>39</v>
      </c>
      <c r="D29" s="12">
        <v>1000</v>
      </c>
    </row>
    <row r="30" spans="1:6">
      <c r="A30" s="5"/>
      <c r="B30" s="6" t="s">
        <v>15</v>
      </c>
      <c r="C30" s="13" t="s">
        <v>39</v>
      </c>
      <c r="D30" s="11">
        <f>D7-D25-D26-D28-D29-D27</f>
        <v>-9083.0800000000017</v>
      </c>
    </row>
  </sheetData>
  <mergeCells count="3">
    <mergeCell ref="B23:D23"/>
    <mergeCell ref="A2:D2"/>
    <mergeCell ref="B9:D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F29"/>
  <sheetViews>
    <sheetView topLeftCell="A17" workbookViewId="0">
      <selection activeCell="A29" sqref="A25:XFD29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193603.59599999999</v>
      </c>
    </row>
    <row r="6" spans="1:6">
      <c r="A6" s="5"/>
      <c r="B6" s="7" t="s">
        <v>4</v>
      </c>
      <c r="C6" s="13" t="s">
        <v>39</v>
      </c>
      <c r="D6" s="12">
        <f>862.3*12*14.66</f>
        <v>151695.81599999999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862.3*4.05*12</f>
        <v>41907.78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862.3*12*0.29</f>
        <v>3000.8039999999992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862.3*12*2.23</f>
        <v>23075.147999999997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862.3*12*1.85</f>
        <v>19143.059999999998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862.3*12*2.28</f>
        <v>23592.527999999995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862.3*12*1.68</f>
        <v>17383.967999999997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862.3*12*2.05</f>
        <v>21212.579999999994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862.3*12*1.19</f>
        <v>12313.643999999998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862.3*12*2.66</f>
        <v>27524.615999999998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862.3*12*0.06</f>
        <v>620.85599999999988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862.3*12*0.37</f>
        <v>3828.6119999999996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171695.81599999996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-19999.999999999971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21</v>
      </c>
      <c r="C25" s="13" t="s">
        <v>39</v>
      </c>
      <c r="D25" s="12">
        <v>26000</v>
      </c>
    </row>
    <row r="26" spans="1:6">
      <c r="A26" s="5"/>
      <c r="B26" s="7" t="s">
        <v>25</v>
      </c>
      <c r="C26" s="13" t="s">
        <v>39</v>
      </c>
      <c r="D26" s="12">
        <v>8000</v>
      </c>
    </row>
    <row r="27" spans="1:6">
      <c r="A27" s="5"/>
      <c r="B27" s="7" t="s">
        <v>29</v>
      </c>
      <c r="C27" s="13" t="s">
        <v>39</v>
      </c>
      <c r="D27" s="12">
        <v>15000</v>
      </c>
    </row>
    <row r="28" spans="1:6">
      <c r="A28" s="5"/>
      <c r="B28" s="7" t="s">
        <v>31</v>
      </c>
      <c r="C28" s="13" t="s">
        <v>39</v>
      </c>
      <c r="D28" s="12">
        <v>5000</v>
      </c>
    </row>
    <row r="29" spans="1:6">
      <c r="A29" s="5"/>
      <c r="B29" s="6" t="s">
        <v>15</v>
      </c>
      <c r="C29" s="13" t="s">
        <v>39</v>
      </c>
      <c r="D29" s="11">
        <f>D7-D25-D26-D28-D27</f>
        <v>-12092.220000000001</v>
      </c>
    </row>
  </sheetData>
  <mergeCells count="3">
    <mergeCell ref="A2:D2"/>
    <mergeCell ref="B9:D9"/>
    <mergeCell ref="B23:D23"/>
  </mergeCells>
  <dataValidations count="1">
    <dataValidation type="list" allowBlank="1" showInputMessage="1" showErrorMessage="1" sqref="B5:D5">
      <formula1>Адреса</formula1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F30"/>
  <sheetViews>
    <sheetView topLeftCell="A11" workbookViewId="0">
      <selection activeCell="A30" sqref="A30:XFD41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191964.6</v>
      </c>
    </row>
    <row r="6" spans="1:6">
      <c r="A6" s="5"/>
      <c r="B6" s="7" t="s">
        <v>4</v>
      </c>
      <c r="C6" s="13" t="s">
        <v>39</v>
      </c>
      <c r="D6" s="12">
        <f>855*12*14.66</f>
        <v>150411.6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855*4.05*12</f>
        <v>41553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855*12*0.29</f>
        <v>2975.3999999999996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855*12*2.23</f>
        <v>22879.8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855*12*1.85</f>
        <v>18981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855*12*2.28</f>
        <v>23392.799999999999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855*12*1.68</f>
        <v>17236.8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855*12*2.05</f>
        <v>21032.999999999996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855*12*1.19</f>
        <v>12209.4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855*12*2.66</f>
        <v>27291.600000000002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855*12*0.06</f>
        <v>615.6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855*12*0.37</f>
        <v>3796.2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170411.6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-20000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18</v>
      </c>
      <c r="C25" s="13" t="s">
        <v>39</v>
      </c>
      <c r="D25" s="12">
        <v>2500</v>
      </c>
    </row>
    <row r="26" spans="1:6">
      <c r="A26" s="5"/>
      <c r="B26" s="7" t="s">
        <v>19</v>
      </c>
      <c r="C26" s="13" t="s">
        <v>39</v>
      </c>
      <c r="D26" s="12">
        <v>1800</v>
      </c>
    </row>
    <row r="27" spans="1:6">
      <c r="A27" s="5"/>
      <c r="B27" s="7" t="s">
        <v>22</v>
      </c>
      <c r="C27" s="13" t="s">
        <v>39</v>
      </c>
      <c r="D27" s="12">
        <v>500</v>
      </c>
    </row>
    <row r="28" spans="1:6">
      <c r="A28" s="5"/>
      <c r="B28" s="7" t="s">
        <v>42</v>
      </c>
      <c r="C28" s="13" t="s">
        <v>39</v>
      </c>
      <c r="D28" s="12">
        <v>16000</v>
      </c>
    </row>
    <row r="29" spans="1:6">
      <c r="A29" s="5"/>
      <c r="B29" s="7" t="s">
        <v>31</v>
      </c>
      <c r="C29" s="13" t="s">
        <v>39</v>
      </c>
      <c r="D29" s="12">
        <v>5000</v>
      </c>
    </row>
    <row r="30" spans="1:6">
      <c r="A30" s="5"/>
      <c r="B30" s="6" t="s">
        <v>15</v>
      </c>
      <c r="C30" s="13" t="s">
        <v>39</v>
      </c>
      <c r="D30" s="11">
        <f>D7-D28-D29-D27-D26-D25</f>
        <v>15753</v>
      </c>
    </row>
  </sheetData>
  <mergeCells count="3">
    <mergeCell ref="B23:D23"/>
    <mergeCell ref="A2:D2"/>
    <mergeCell ref="B9:D9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F28"/>
  <sheetViews>
    <sheetView topLeftCell="A8" workbookViewId="0">
      <selection activeCell="H30" sqref="H30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195871.24799999996</v>
      </c>
    </row>
    <row r="6" spans="1:6">
      <c r="A6" s="5"/>
      <c r="B6" s="7" t="s">
        <v>4</v>
      </c>
      <c r="C6" s="13" t="s">
        <v>39</v>
      </c>
      <c r="D6" s="12">
        <f>872.4*12*14.66</f>
        <v>153472.60799999998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872.4*4.05*12</f>
        <v>42398.64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872.4*12*0.29</f>
        <v>3035.9519999999998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872.4*12*2.23</f>
        <v>23345.423999999999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872.4*12*1.85</f>
        <v>19367.28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872.4*12*2.28</f>
        <v>23868.863999999998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872.4*12*1.68</f>
        <v>17587.583999999999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872.4*12*2.05</f>
        <v>21461.039999999997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872.4*12*1.19</f>
        <v>12457.871999999999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872.4*12*2.66</f>
        <v>27847.007999999998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872.4*12*0.06</f>
        <v>628.12799999999993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872.4*12*0.37</f>
        <v>3873.4559999999997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173472.60799999998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-20000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42</v>
      </c>
      <c r="C25" s="13" t="s">
        <v>39</v>
      </c>
      <c r="D25" s="12">
        <v>16000</v>
      </c>
    </row>
    <row r="26" spans="1:6">
      <c r="A26" s="5"/>
      <c r="B26" s="7" t="s">
        <v>31</v>
      </c>
      <c r="C26" s="13" t="s">
        <v>39</v>
      </c>
      <c r="D26" s="12">
        <v>5000</v>
      </c>
    </row>
    <row r="27" spans="1:6">
      <c r="A27" s="5"/>
      <c r="B27" s="7" t="s">
        <v>33</v>
      </c>
      <c r="C27" s="13" t="s">
        <v>39</v>
      </c>
      <c r="D27" s="12">
        <v>1800</v>
      </c>
    </row>
    <row r="28" spans="1:6">
      <c r="A28" s="5"/>
      <c r="B28" s="6" t="s">
        <v>15</v>
      </c>
      <c r="C28" s="13" t="s">
        <v>39</v>
      </c>
      <c r="D28" s="11">
        <f>D7-D25-D26-D27</f>
        <v>19598.64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F30"/>
  <sheetViews>
    <sheetView topLeftCell="A19" workbookViewId="0">
      <selection activeCell="A26" sqref="A25:XFD2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193513.788</v>
      </c>
    </row>
    <row r="6" spans="1:6">
      <c r="A6" s="5"/>
      <c r="B6" s="7" t="s">
        <v>4</v>
      </c>
      <c r="C6" s="13" t="s">
        <v>39</v>
      </c>
      <c r="D6" s="12">
        <f>861.9*12*14.66</f>
        <v>151625.448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861.9*4.05*12</f>
        <v>41888.339999999997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861.9*12*0.29</f>
        <v>2999.4119999999998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861.9*12*2.23</f>
        <v>23064.444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861.9*12*1.85</f>
        <v>19134.18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861.9*12*2.28</f>
        <v>23581.583999999995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861.9*12*1.68</f>
        <v>17375.903999999999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861.9*12*2.05</f>
        <v>21202.739999999998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861.9*12*1.19</f>
        <v>12307.931999999999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861.9*12*2.66</f>
        <v>27511.847999999998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861.9*12*0.06</f>
        <v>620.56799999999998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861.9*12*0.37</f>
        <v>3826.8359999999998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171625.44799999997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-19999.999999999971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19</v>
      </c>
      <c r="C25" s="13" t="s">
        <v>39</v>
      </c>
      <c r="D25" s="12">
        <v>2000</v>
      </c>
    </row>
    <row r="26" spans="1:6">
      <c r="A26" s="5"/>
      <c r="B26" s="7" t="s">
        <v>22</v>
      </c>
      <c r="C26" s="13" t="s">
        <v>39</v>
      </c>
      <c r="D26" s="12">
        <v>500</v>
      </c>
    </row>
    <row r="27" spans="1:6">
      <c r="A27" s="5"/>
      <c r="B27" s="7" t="s">
        <v>28</v>
      </c>
      <c r="C27" s="13" t="s">
        <v>39</v>
      </c>
      <c r="D27" s="12">
        <v>1000</v>
      </c>
    </row>
    <row r="28" spans="1:6">
      <c r="A28" s="5"/>
      <c r="B28" s="7" t="s">
        <v>42</v>
      </c>
      <c r="C28" s="13" t="s">
        <v>39</v>
      </c>
      <c r="D28" s="12">
        <v>16000</v>
      </c>
    </row>
    <row r="29" spans="1:6">
      <c r="A29" s="5"/>
      <c r="B29" s="7" t="s">
        <v>31</v>
      </c>
      <c r="C29" s="13" t="s">
        <v>39</v>
      </c>
      <c r="D29" s="12">
        <v>5000</v>
      </c>
    </row>
    <row r="30" spans="1:6">
      <c r="A30" s="5"/>
      <c r="B30" s="6" t="s">
        <v>15</v>
      </c>
      <c r="C30" s="13" t="s">
        <v>39</v>
      </c>
      <c r="D30" s="11">
        <f>D7-D28-D29-D27-D26-D25</f>
        <v>17388.339999999997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F30"/>
  <sheetViews>
    <sheetView topLeftCell="A22" workbookViewId="0">
      <selection activeCell="I45" sqref="I45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192727.96799999999</v>
      </c>
    </row>
    <row r="6" spans="1:6">
      <c r="A6" s="5"/>
      <c r="B6" s="7" t="s">
        <v>4</v>
      </c>
      <c r="C6" s="13" t="s">
        <v>39</v>
      </c>
      <c r="D6" s="12">
        <f>858.4*12*14.66</f>
        <v>151009.728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858.4*4.05*12</f>
        <v>41718.239999999998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858.4*12*0.29</f>
        <v>2987.2319999999995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858.4*12*2.23</f>
        <v>22970.784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858.4*12*1.85</f>
        <v>19056.48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858.4*12*2.28</f>
        <v>23485.823999999997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858.4*12*1.68</f>
        <v>17305.343999999997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858.4*12*2.05</f>
        <v>21116.639999999996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858.4*12*1.19</f>
        <v>12257.951999999999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858.4*12*2.66</f>
        <v>27400.128000000001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858.4*12*0.06</f>
        <v>618.04799999999989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858.4*12*0.37</f>
        <v>3811.2959999999998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171009.72799999997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-19999.999999999971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24</v>
      </c>
      <c r="C25" s="13" t="s">
        <v>39</v>
      </c>
      <c r="D25" s="12">
        <v>8200</v>
      </c>
    </row>
    <row r="26" spans="1:6">
      <c r="A26" s="5"/>
      <c r="B26" s="7" t="s">
        <v>25</v>
      </c>
      <c r="C26" s="13" t="s">
        <v>39</v>
      </c>
      <c r="D26" s="12">
        <v>5000</v>
      </c>
    </row>
    <row r="27" spans="1:6">
      <c r="A27" s="5"/>
      <c r="B27" s="7" t="s">
        <v>42</v>
      </c>
      <c r="C27" s="13" t="s">
        <v>39</v>
      </c>
      <c r="D27" s="12">
        <v>16000</v>
      </c>
    </row>
    <row r="28" spans="1:6">
      <c r="A28" s="5"/>
      <c r="B28" s="7" t="s">
        <v>31</v>
      </c>
      <c r="C28" s="13" t="s">
        <v>39</v>
      </c>
      <c r="D28" s="12">
        <v>5000</v>
      </c>
    </row>
    <row r="29" spans="1:6">
      <c r="A29" s="5"/>
      <c r="B29" s="7" t="s">
        <v>33</v>
      </c>
      <c r="C29" s="13" t="s">
        <v>39</v>
      </c>
      <c r="D29" s="12">
        <v>1900</v>
      </c>
    </row>
    <row r="30" spans="1:6">
      <c r="A30" s="5"/>
      <c r="B30" s="6" t="s">
        <v>15</v>
      </c>
      <c r="C30" s="13" t="s">
        <v>39</v>
      </c>
      <c r="D30" s="11">
        <f>D7-D26-D27-D28-D29-D25</f>
        <v>5618.239999999998</v>
      </c>
    </row>
  </sheetData>
  <mergeCells count="3">
    <mergeCell ref="A2:D2"/>
    <mergeCell ref="B23:D23"/>
    <mergeCell ref="B9:D9"/>
  </mergeCells>
  <dataValidations count="1">
    <dataValidation type="list" allowBlank="1" showInputMessage="1" showErrorMessage="1" sqref="B3:D3">
      <formula1>Адреса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30"/>
  <sheetViews>
    <sheetView topLeftCell="A11" workbookViewId="0">
      <selection activeCell="I32" sqref="I32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248947.77599999998</v>
      </c>
    </row>
    <row r="6" spans="1:6">
      <c r="A6" s="5"/>
      <c r="B6" s="7" t="s">
        <v>4</v>
      </c>
      <c r="C6" s="13" t="s">
        <v>39</v>
      </c>
      <c r="D6" s="12">
        <f>1108.8*12*14.66</f>
        <v>195060.09599999999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1108.8*4.05*12</f>
        <v>53887.679999999993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1108.8*12*0.29</f>
        <v>3858.6239999999993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1108.8*12*2.23</f>
        <v>29671.487999999998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1108.8*12*1.85</f>
        <v>24615.359999999997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1108.8*12*2.28</f>
        <v>30336.767999999993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1108.8*12*1.68</f>
        <v>22353.407999999996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1108.8*12*2.05</f>
        <v>27276.479999999996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1108.8*12*1.19</f>
        <v>15833.663999999997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1108.8*12*2.66</f>
        <v>35392.896000000001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1108.8*12*0.06</f>
        <v>798.3359999999999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1108.8*12*0.37</f>
        <v>4923.0719999999992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215060.09599999996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-19999.999999999971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19</v>
      </c>
      <c r="C25" s="13" t="s">
        <v>39</v>
      </c>
      <c r="D25" s="12">
        <v>1500</v>
      </c>
    </row>
    <row r="26" spans="1:6">
      <c r="A26" s="5"/>
      <c r="B26" s="7" t="s">
        <v>21</v>
      </c>
      <c r="C26" s="13" t="s">
        <v>39</v>
      </c>
      <c r="D26" s="12">
        <v>26000</v>
      </c>
    </row>
    <row r="27" spans="1:6">
      <c r="A27" s="5"/>
      <c r="B27" s="7" t="s">
        <v>24</v>
      </c>
      <c r="C27" s="13" t="s">
        <v>39</v>
      </c>
      <c r="D27" s="12">
        <v>4000</v>
      </c>
    </row>
    <row r="28" spans="1:6">
      <c r="A28" s="5"/>
      <c r="B28" s="7" t="s">
        <v>29</v>
      </c>
      <c r="C28" s="13" t="s">
        <v>39</v>
      </c>
      <c r="D28" s="12">
        <v>15000</v>
      </c>
    </row>
    <row r="29" spans="1:6">
      <c r="A29" s="5"/>
      <c r="B29" s="7" t="s">
        <v>32</v>
      </c>
      <c r="C29" s="13" t="s">
        <v>39</v>
      </c>
      <c r="D29" s="12">
        <v>1000</v>
      </c>
    </row>
    <row r="30" spans="1:6">
      <c r="A30" s="5"/>
      <c r="B30" s="6" t="s">
        <v>15</v>
      </c>
      <c r="C30" s="13" t="s">
        <v>39</v>
      </c>
      <c r="D30" s="11">
        <f>D7-D28-D25-D29-D27-D26</f>
        <v>6387.679999999993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F28"/>
  <sheetViews>
    <sheetView topLeftCell="A14" workbookViewId="0">
      <selection activeCell="I37" sqref="I37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190752.19200000001</v>
      </c>
    </row>
    <row r="6" spans="1:6">
      <c r="A6" s="5"/>
      <c r="B6" s="7" t="s">
        <v>4</v>
      </c>
      <c r="C6" s="13" t="s">
        <v>39</v>
      </c>
      <c r="D6" s="12">
        <f>849.6*12*14.66</f>
        <v>149461.63200000001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849.6*4.05*12</f>
        <v>41290.559999999998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849.6*12*0.29</f>
        <v>2956.6080000000002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849.6*12*2.23</f>
        <v>22735.296000000002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849.6*12*1.85</f>
        <v>18861.120000000003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849.6*12*2.28</f>
        <v>23245.056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849.6*12*1.68</f>
        <v>17127.936000000002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849.6*12*2.05</f>
        <v>20900.16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849.6*12*1.19</f>
        <v>12132.288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849.6*12*2.66</f>
        <v>27119.232000000004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849.6*12*0.06</f>
        <v>611.71199999999999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849.6*12*0.37</f>
        <v>3772.2240000000002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169461.63200000001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-20000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21</v>
      </c>
      <c r="C25" s="13" t="s">
        <v>39</v>
      </c>
      <c r="D25" s="12">
        <v>26000</v>
      </c>
    </row>
    <row r="26" spans="1:6">
      <c r="A26" s="5"/>
      <c r="B26" s="7" t="s">
        <v>29</v>
      </c>
      <c r="C26" s="13" t="s">
        <v>39</v>
      </c>
      <c r="D26" s="12">
        <v>15000</v>
      </c>
    </row>
    <row r="27" spans="1:6">
      <c r="A27" s="5"/>
      <c r="B27" s="7" t="s">
        <v>31</v>
      </c>
      <c r="C27" s="13" t="s">
        <v>39</v>
      </c>
      <c r="D27" s="12">
        <v>5000</v>
      </c>
    </row>
    <row r="28" spans="1:6">
      <c r="A28" s="5"/>
      <c r="B28" s="6" t="s">
        <v>15</v>
      </c>
      <c r="C28" s="13" t="s">
        <v>39</v>
      </c>
      <c r="D28" s="11">
        <f>D7-D25-D27-D26</f>
        <v>-4709.4400000000023</v>
      </c>
    </row>
  </sheetData>
  <mergeCells count="3">
    <mergeCell ref="A2:D2"/>
    <mergeCell ref="B9:D9"/>
    <mergeCell ref="B23:D23"/>
  </mergeCells>
  <dataValidations count="1">
    <dataValidation type="list" allowBlank="1" showInputMessage="1" showErrorMessage="1" sqref="B5:D5">
      <formula1>Адреса</formula1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F29"/>
  <sheetViews>
    <sheetView topLeftCell="A19" workbookViewId="0">
      <selection activeCell="A29" sqref="A25:XFD29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191358.39599999998</v>
      </c>
    </row>
    <row r="6" spans="1:6">
      <c r="A6" s="5"/>
      <c r="B6" s="7" t="s">
        <v>4</v>
      </c>
      <c r="C6" s="13" t="s">
        <v>39</v>
      </c>
      <c r="D6" s="12">
        <f>852.3*12*14.66</f>
        <v>149936.61599999998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852.3*4.05*12</f>
        <v>41421.78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852.3*12*0.29</f>
        <v>2966.0039999999995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852.3*12*2.23</f>
        <v>22807.547999999995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852.3*12*1.85</f>
        <v>18921.059999999998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852.3*12*2.28</f>
        <v>23318.927999999996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852.3*12*1.68</f>
        <v>17182.367999999999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852.3*12*2.05</f>
        <v>20966.579999999994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852.3*12*1.19</f>
        <v>12170.843999999997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852.3*12*2.66</f>
        <v>27205.415999999997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852.3*12*0.06</f>
        <v>613.65599999999984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852.3*12*0.37</f>
        <v>3784.2119999999995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169936.61599999995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-19999.999999999971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21</v>
      </c>
      <c r="C25" s="13" t="s">
        <v>39</v>
      </c>
      <c r="D25" s="12">
        <v>26000</v>
      </c>
    </row>
    <row r="26" spans="1:6">
      <c r="A26" s="5"/>
      <c r="B26" s="7" t="s">
        <v>22</v>
      </c>
      <c r="C26" s="13" t="s">
        <v>39</v>
      </c>
      <c r="D26" s="12">
        <v>500</v>
      </c>
    </row>
    <row r="27" spans="1:6">
      <c r="A27" s="5"/>
      <c r="B27" s="7" t="s">
        <v>29</v>
      </c>
      <c r="C27" s="13" t="s">
        <v>39</v>
      </c>
      <c r="D27" s="12">
        <v>15000</v>
      </c>
    </row>
    <row r="28" spans="1:6">
      <c r="A28" s="5"/>
      <c r="B28" s="7" t="s">
        <v>31</v>
      </c>
      <c r="C28" s="13" t="s">
        <v>39</v>
      </c>
      <c r="D28" s="12">
        <v>5000</v>
      </c>
    </row>
    <row r="29" spans="1:6">
      <c r="A29" s="5"/>
      <c r="B29" s="6" t="s">
        <v>15</v>
      </c>
      <c r="C29" s="13" t="s">
        <v>39</v>
      </c>
      <c r="D29" s="11">
        <f>D7-D25-D28-D27-D26</f>
        <v>-5078.2200000000012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/>
  </sheetPr>
  <dimension ref="A1:F26"/>
  <sheetViews>
    <sheetView topLeftCell="A10" workbookViewId="0">
      <selection activeCell="A37" sqref="A23:XFD37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267553.5</v>
      </c>
    </row>
    <row r="6" spans="1:6">
      <c r="A6" s="5"/>
      <c r="B6" s="7" t="s">
        <v>4</v>
      </c>
      <c r="C6" s="13" t="s">
        <v>39</v>
      </c>
      <c r="D6" s="12">
        <f>833.5*12*20.67</f>
        <v>206741.34000000003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833.5*6.08*12</f>
        <v>60812.160000000003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8" t="s">
        <v>8</v>
      </c>
      <c r="C10" s="13" t="s">
        <v>39</v>
      </c>
      <c r="D10" s="21">
        <f>833.5*12*2.38</f>
        <v>23804.76</v>
      </c>
      <c r="F10" s="19">
        <v>12.62</v>
      </c>
    </row>
    <row r="11" spans="1:6">
      <c r="A11" s="5"/>
      <c r="B11" s="8" t="s">
        <v>40</v>
      </c>
      <c r="C11" s="13" t="s">
        <v>39</v>
      </c>
      <c r="D11" s="21">
        <v>20000</v>
      </c>
      <c r="F11" s="19"/>
    </row>
    <row r="12" spans="1:6">
      <c r="A12" s="5"/>
      <c r="B12" s="8" t="s">
        <v>9</v>
      </c>
      <c r="C12" s="13" t="s">
        <v>39</v>
      </c>
      <c r="D12" s="21">
        <f>833.5*12*4.82</f>
        <v>48209.64</v>
      </c>
      <c r="F12" s="19">
        <v>15.55</v>
      </c>
    </row>
    <row r="13" spans="1:6">
      <c r="A13" s="5"/>
      <c r="B13" s="8" t="s">
        <v>10</v>
      </c>
      <c r="C13" s="13" t="s">
        <v>39</v>
      </c>
      <c r="D13" s="21">
        <f>833.5*12*2.29</f>
        <v>22904.58</v>
      </c>
      <c r="F13" s="19">
        <v>11.46</v>
      </c>
    </row>
    <row r="14" spans="1:6">
      <c r="A14" s="5"/>
      <c r="B14" s="8" t="s">
        <v>11</v>
      </c>
      <c r="C14" s="13" t="s">
        <v>39</v>
      </c>
      <c r="D14" s="21">
        <f>833.5*12*3.4</f>
        <v>34006.799999999996</v>
      </c>
      <c r="F14" s="19">
        <v>13.98</v>
      </c>
    </row>
    <row r="15" spans="1:6">
      <c r="A15" s="5"/>
      <c r="B15" s="8" t="s">
        <v>12</v>
      </c>
      <c r="C15" s="13" t="s">
        <v>39</v>
      </c>
      <c r="D15" s="21">
        <f>833.5*12*2.61</f>
        <v>26105.219999999998</v>
      </c>
      <c r="F15" s="19">
        <v>8.1199999999999992</v>
      </c>
    </row>
    <row r="16" spans="1:6">
      <c r="A16" s="5"/>
      <c r="B16" s="8" t="s">
        <v>13</v>
      </c>
      <c r="C16" s="13" t="s">
        <v>39</v>
      </c>
      <c r="D16" s="21">
        <f>833.5*12*4.64</f>
        <v>46409.279999999999</v>
      </c>
      <c r="F16" s="19">
        <v>18.14</v>
      </c>
    </row>
    <row r="17" spans="1:6">
      <c r="A17" s="5"/>
      <c r="B17" s="8" t="s">
        <v>36</v>
      </c>
      <c r="C17" s="13" t="s">
        <v>39</v>
      </c>
      <c r="D17" s="21">
        <f>833.5*12*0.1</f>
        <v>1000.2</v>
      </c>
      <c r="E17" s="16"/>
      <c r="F17" s="19">
        <v>0.41</v>
      </c>
    </row>
    <row r="18" spans="1:6">
      <c r="A18" s="5"/>
      <c r="B18" s="8" t="s">
        <v>38</v>
      </c>
      <c r="C18" s="13" t="s">
        <v>39</v>
      </c>
      <c r="D18" s="21">
        <f>833.5*12*0.43</f>
        <v>4300.8599999999997</v>
      </c>
      <c r="F18" s="19">
        <v>2.52</v>
      </c>
    </row>
    <row r="19" spans="1:6">
      <c r="A19" s="5"/>
      <c r="B19" s="9" t="s">
        <v>14</v>
      </c>
      <c r="C19" s="13" t="s">
        <v>39</v>
      </c>
      <c r="D19" s="11">
        <f>D18+D17+D16+D15+D14+D13+D12+D11+D10</f>
        <v>226741.34000000003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39</v>
      </c>
      <c r="D20" s="11">
        <f>D6-D19</f>
        <v>-20000</v>
      </c>
    </row>
    <row r="21" spans="1:6">
      <c r="A21" s="5"/>
      <c r="B21" s="24" t="s">
        <v>16</v>
      </c>
      <c r="C21" s="25"/>
      <c r="D21" s="26"/>
    </row>
    <row r="22" spans="1:6">
      <c r="A22" s="5"/>
      <c r="B22" s="6" t="s">
        <v>17</v>
      </c>
      <c r="C22" s="13" t="s">
        <v>39</v>
      </c>
      <c r="D22" s="11"/>
    </row>
    <row r="23" spans="1:6">
      <c r="A23" s="5"/>
      <c r="B23" s="7" t="s">
        <v>25</v>
      </c>
      <c r="C23" s="13" t="s">
        <v>39</v>
      </c>
      <c r="D23" s="12">
        <v>5000</v>
      </c>
    </row>
    <row r="24" spans="1:6">
      <c r="A24" s="5"/>
      <c r="B24" s="7" t="s">
        <v>42</v>
      </c>
      <c r="C24" s="13" t="s">
        <v>39</v>
      </c>
      <c r="D24" s="12">
        <v>16000</v>
      </c>
    </row>
    <row r="25" spans="1:6">
      <c r="A25" s="5"/>
      <c r="B25" s="7" t="s">
        <v>33</v>
      </c>
      <c r="C25" s="13" t="s">
        <v>39</v>
      </c>
      <c r="D25" s="12">
        <v>1000</v>
      </c>
    </row>
    <row r="26" spans="1:6">
      <c r="A26" s="5"/>
      <c r="B26" s="6" t="s">
        <v>15</v>
      </c>
      <c r="C26" s="13" t="s">
        <v>39</v>
      </c>
      <c r="D26" s="11">
        <f>D7-D23-D24-D25</f>
        <v>38812.160000000003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0"/>
  </sheetPr>
  <dimension ref="A1:F24"/>
  <sheetViews>
    <sheetView topLeftCell="A6" workbookViewId="0">
      <selection activeCell="A24" sqref="A24:XFD38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268291.8</v>
      </c>
    </row>
    <row r="6" spans="1:6">
      <c r="A6" s="5"/>
      <c r="B6" s="7" t="s">
        <v>4</v>
      </c>
      <c r="C6" s="13" t="s">
        <v>39</v>
      </c>
      <c r="D6" s="12">
        <f>835.8*12*20.67</f>
        <v>207311.83199999999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835.8*6.08*12</f>
        <v>60979.967999999993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8" t="s">
        <v>8</v>
      </c>
      <c r="C10" s="13" t="s">
        <v>39</v>
      </c>
      <c r="D10" s="21">
        <f>835.8*12*2.38</f>
        <v>23870.447999999997</v>
      </c>
      <c r="F10" s="19">
        <v>12.62</v>
      </c>
    </row>
    <row r="11" spans="1:6">
      <c r="A11" s="5"/>
      <c r="B11" s="8" t="s">
        <v>40</v>
      </c>
      <c r="C11" s="13" t="s">
        <v>39</v>
      </c>
      <c r="D11" s="21">
        <v>20000</v>
      </c>
      <c r="F11" s="19"/>
    </row>
    <row r="12" spans="1:6">
      <c r="A12" s="5"/>
      <c r="B12" s="8" t="s">
        <v>9</v>
      </c>
      <c r="C12" s="13" t="s">
        <v>39</v>
      </c>
      <c r="D12" s="21">
        <f>835.8*12*4.82</f>
        <v>48342.671999999999</v>
      </c>
      <c r="F12" s="19">
        <v>15.55</v>
      </c>
    </row>
    <row r="13" spans="1:6">
      <c r="A13" s="5"/>
      <c r="B13" s="8" t="s">
        <v>10</v>
      </c>
      <c r="C13" s="13" t="s">
        <v>39</v>
      </c>
      <c r="D13" s="21">
        <f>835.8*12*2.29</f>
        <v>22967.783999999996</v>
      </c>
      <c r="F13" s="19">
        <v>11.46</v>
      </c>
    </row>
    <row r="14" spans="1:6">
      <c r="A14" s="5"/>
      <c r="B14" s="8" t="s">
        <v>11</v>
      </c>
      <c r="C14" s="13" t="s">
        <v>39</v>
      </c>
      <c r="D14" s="21">
        <f>835.8*12*3.4</f>
        <v>34100.639999999992</v>
      </c>
      <c r="F14" s="19">
        <v>13.98</v>
      </c>
    </row>
    <row r="15" spans="1:6">
      <c r="A15" s="5"/>
      <c r="B15" s="8" t="s">
        <v>12</v>
      </c>
      <c r="C15" s="13" t="s">
        <v>39</v>
      </c>
      <c r="D15" s="21">
        <f>835.8*12*2.61</f>
        <v>26177.255999999994</v>
      </c>
      <c r="F15" s="19">
        <v>8.1199999999999992</v>
      </c>
    </row>
    <row r="16" spans="1:6">
      <c r="A16" s="5"/>
      <c r="B16" s="8" t="s">
        <v>13</v>
      </c>
      <c r="C16" s="13" t="s">
        <v>39</v>
      </c>
      <c r="D16" s="21">
        <f>835.8*12*4.64</f>
        <v>46537.34399999999</v>
      </c>
      <c r="F16" s="19">
        <v>18.14</v>
      </c>
    </row>
    <row r="17" spans="1:6">
      <c r="A17" s="5"/>
      <c r="B17" s="8" t="s">
        <v>36</v>
      </c>
      <c r="C17" s="13" t="s">
        <v>39</v>
      </c>
      <c r="D17" s="21">
        <f>835.8*12*0.1</f>
        <v>1002.9599999999999</v>
      </c>
      <c r="E17" s="16"/>
      <c r="F17" s="19">
        <v>0.41</v>
      </c>
    </row>
    <row r="18" spans="1:6">
      <c r="A18" s="5"/>
      <c r="B18" s="8" t="s">
        <v>38</v>
      </c>
      <c r="C18" s="13" t="s">
        <v>39</v>
      </c>
      <c r="D18" s="21">
        <f>835.8*12*0.43</f>
        <v>4312.7279999999992</v>
      </c>
      <c r="F18" s="19">
        <v>2.52</v>
      </c>
    </row>
    <row r="19" spans="1:6">
      <c r="A19" s="5"/>
      <c r="B19" s="9" t="s">
        <v>14</v>
      </c>
      <c r="C19" s="13" t="s">
        <v>39</v>
      </c>
      <c r="D19" s="11">
        <f>D18+D17+D16+D15+D14+D13+D12+D11+D10</f>
        <v>227311.83199999997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39</v>
      </c>
      <c r="D20" s="11">
        <f>D6-D19</f>
        <v>-19999.999999999971</v>
      </c>
    </row>
    <row r="21" spans="1:6">
      <c r="A21" s="5"/>
      <c r="B21" s="24" t="s">
        <v>16</v>
      </c>
      <c r="C21" s="25"/>
      <c r="D21" s="26"/>
    </row>
    <row r="22" spans="1:6">
      <c r="A22" s="5"/>
      <c r="B22" s="6" t="s">
        <v>17</v>
      </c>
      <c r="C22" s="13" t="s">
        <v>39</v>
      </c>
      <c r="D22" s="11"/>
    </row>
    <row r="23" spans="1:6">
      <c r="A23" s="5"/>
      <c r="B23" s="7" t="s">
        <v>29</v>
      </c>
      <c r="C23" s="13" t="s">
        <v>39</v>
      </c>
      <c r="D23" s="12">
        <v>15000</v>
      </c>
    </row>
    <row r="24" spans="1:6">
      <c r="A24" s="5"/>
      <c r="B24" s="6" t="s">
        <v>15</v>
      </c>
      <c r="C24" s="13" t="s">
        <v>39</v>
      </c>
      <c r="D24" s="11">
        <f>D7-D23</f>
        <v>45979.967999999993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0"/>
  </sheetPr>
  <dimension ref="A1:F25"/>
  <sheetViews>
    <sheetView topLeftCell="A11" workbookViewId="0">
      <selection activeCell="A26" sqref="A23:XFD2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274069.8</v>
      </c>
    </row>
    <row r="6" spans="1:6">
      <c r="A6" s="5"/>
      <c r="B6" s="7" t="s">
        <v>4</v>
      </c>
      <c r="C6" s="13" t="s">
        <v>39</v>
      </c>
      <c r="D6" s="12">
        <f>853.8*12*20.67</f>
        <v>211776.552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853.8*6.08*12</f>
        <v>62293.247999999992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8" t="s">
        <v>8</v>
      </c>
      <c r="C10" s="13" t="s">
        <v>39</v>
      </c>
      <c r="D10" s="21">
        <f>853.8*12*2.38</f>
        <v>24384.527999999995</v>
      </c>
      <c r="F10" s="19">
        <v>12.62</v>
      </c>
    </row>
    <row r="11" spans="1:6">
      <c r="A11" s="5"/>
      <c r="B11" s="8" t="s">
        <v>40</v>
      </c>
      <c r="C11" s="13" t="s">
        <v>39</v>
      </c>
      <c r="D11" s="21">
        <v>20000</v>
      </c>
      <c r="F11" s="19"/>
    </row>
    <row r="12" spans="1:6">
      <c r="A12" s="5"/>
      <c r="B12" s="8" t="s">
        <v>9</v>
      </c>
      <c r="C12" s="13" t="s">
        <v>39</v>
      </c>
      <c r="D12" s="21">
        <f>853.8*12*4.82</f>
        <v>49383.791999999994</v>
      </c>
      <c r="F12" s="19">
        <v>15.55</v>
      </c>
    </row>
    <row r="13" spans="1:6">
      <c r="A13" s="5"/>
      <c r="B13" s="8" t="s">
        <v>10</v>
      </c>
      <c r="C13" s="13" t="s">
        <v>39</v>
      </c>
      <c r="D13" s="21">
        <f>853.8*12*2.29</f>
        <v>23462.423999999995</v>
      </c>
      <c r="F13" s="19">
        <v>11.46</v>
      </c>
    </row>
    <row r="14" spans="1:6">
      <c r="A14" s="5"/>
      <c r="B14" s="8" t="s">
        <v>11</v>
      </c>
      <c r="C14" s="13" t="s">
        <v>39</v>
      </c>
      <c r="D14" s="21">
        <f>853.8*12*3.4</f>
        <v>34835.039999999994</v>
      </c>
      <c r="F14" s="19">
        <v>13.98</v>
      </c>
    </row>
    <row r="15" spans="1:6">
      <c r="A15" s="5"/>
      <c r="B15" s="8" t="s">
        <v>12</v>
      </c>
      <c r="C15" s="13" t="s">
        <v>39</v>
      </c>
      <c r="D15" s="21">
        <f>853.8*12*2.61</f>
        <v>26741.015999999996</v>
      </c>
      <c r="F15" s="19">
        <v>8.1199999999999992</v>
      </c>
    </row>
    <row r="16" spans="1:6">
      <c r="A16" s="5"/>
      <c r="B16" s="8" t="s">
        <v>13</v>
      </c>
      <c r="C16" s="13" t="s">
        <v>39</v>
      </c>
      <c r="D16" s="21">
        <f>853.8*12*4.64</f>
        <v>47539.583999999988</v>
      </c>
      <c r="F16" s="19">
        <v>18.14</v>
      </c>
    </row>
    <row r="17" spans="1:6">
      <c r="A17" s="5"/>
      <c r="B17" s="8" t="s">
        <v>36</v>
      </c>
      <c r="C17" s="13" t="s">
        <v>39</v>
      </c>
      <c r="D17" s="21">
        <f>853.8*12*0.1</f>
        <v>1024.56</v>
      </c>
      <c r="E17" s="16"/>
      <c r="F17" s="19">
        <v>0.41</v>
      </c>
    </row>
    <row r="18" spans="1:6">
      <c r="A18" s="5"/>
      <c r="B18" s="8" t="s">
        <v>38</v>
      </c>
      <c r="C18" s="13" t="s">
        <v>39</v>
      </c>
      <c r="D18" s="21">
        <f>853.8*12*0.43</f>
        <v>4405.6079999999993</v>
      </c>
      <c r="F18" s="19">
        <v>2.52</v>
      </c>
    </row>
    <row r="19" spans="1:6">
      <c r="A19" s="5"/>
      <c r="B19" s="9" t="s">
        <v>14</v>
      </c>
      <c r="C19" s="13" t="s">
        <v>39</v>
      </c>
      <c r="D19" s="11">
        <f>D18+D17+D16+D15+D14+D13+D12+D11+D10</f>
        <v>231776.55199999994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39</v>
      </c>
      <c r="D20" s="11">
        <f>D6-D19</f>
        <v>-19999.999999999942</v>
      </c>
    </row>
    <row r="21" spans="1:6">
      <c r="A21" s="5"/>
      <c r="B21" s="24" t="s">
        <v>16</v>
      </c>
      <c r="C21" s="25"/>
      <c r="D21" s="26"/>
    </row>
    <row r="22" spans="1:6">
      <c r="A22" s="5"/>
      <c r="B22" s="6" t="s">
        <v>17</v>
      </c>
      <c r="C22" s="13" t="s">
        <v>39</v>
      </c>
      <c r="D22" s="11"/>
    </row>
    <row r="23" spans="1:6">
      <c r="A23" s="5"/>
      <c r="B23" s="7" t="s">
        <v>20</v>
      </c>
      <c r="C23" s="13" t="s">
        <v>39</v>
      </c>
      <c r="D23" s="12">
        <v>1000</v>
      </c>
    </row>
    <row r="24" spans="1:6">
      <c r="A24" s="5"/>
      <c r="B24" s="7" t="s">
        <v>29</v>
      </c>
      <c r="C24" s="13" t="s">
        <v>39</v>
      </c>
      <c r="D24" s="12">
        <v>15000</v>
      </c>
    </row>
    <row r="25" spans="1:6">
      <c r="A25" s="5"/>
      <c r="B25" s="6" t="s">
        <v>15</v>
      </c>
      <c r="C25" s="13" t="s">
        <v>39</v>
      </c>
      <c r="D25" s="11">
        <f>D7-D24-D23</f>
        <v>46293.247999999992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theme="0"/>
  </sheetPr>
  <dimension ref="A1:F25"/>
  <sheetViews>
    <sheetView topLeftCell="A17" workbookViewId="0">
      <selection activeCell="A32" sqref="A23:XFD32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268901.70000000007</v>
      </c>
    </row>
    <row r="6" spans="1:6">
      <c r="A6" s="5"/>
      <c r="B6" s="7" t="s">
        <v>4</v>
      </c>
      <c r="C6" s="13" t="s">
        <v>39</v>
      </c>
      <c r="D6" s="12">
        <f>837.7*12*20.67</f>
        <v>207783.10800000004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837.7*6.08*12</f>
        <v>61118.592000000004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8" t="s">
        <v>8</v>
      </c>
      <c r="C10" s="13" t="s">
        <v>39</v>
      </c>
      <c r="D10" s="21">
        <f>837.7*12*2.38</f>
        <v>23924.712000000003</v>
      </c>
      <c r="F10" s="19">
        <v>12.62</v>
      </c>
    </row>
    <row r="11" spans="1:6">
      <c r="A11" s="5"/>
      <c r="B11" s="8" t="s">
        <v>40</v>
      </c>
      <c r="C11" s="13" t="s">
        <v>39</v>
      </c>
      <c r="D11" s="21">
        <v>20000</v>
      </c>
      <c r="F11" s="19"/>
    </row>
    <row r="12" spans="1:6">
      <c r="A12" s="5"/>
      <c r="B12" s="8" t="s">
        <v>9</v>
      </c>
      <c r="C12" s="13" t="s">
        <v>39</v>
      </c>
      <c r="D12" s="21">
        <f>837.7*12*4.82</f>
        <v>48452.568000000007</v>
      </c>
      <c r="F12" s="19">
        <v>15.55</v>
      </c>
    </row>
    <row r="13" spans="1:6">
      <c r="A13" s="5"/>
      <c r="B13" s="8" t="s">
        <v>10</v>
      </c>
      <c r="C13" s="13" t="s">
        <v>39</v>
      </c>
      <c r="D13" s="21">
        <f>837.7*12*2.29</f>
        <v>23019.996000000003</v>
      </c>
      <c r="F13" s="19">
        <v>11.46</v>
      </c>
    </row>
    <row r="14" spans="1:6">
      <c r="A14" s="5"/>
      <c r="B14" s="8" t="s">
        <v>11</v>
      </c>
      <c r="C14" s="13" t="s">
        <v>39</v>
      </c>
      <c r="D14" s="21">
        <f>837.7*12*3.4</f>
        <v>34178.160000000003</v>
      </c>
      <c r="F14" s="19">
        <v>13.98</v>
      </c>
    </row>
    <row r="15" spans="1:6">
      <c r="A15" s="5"/>
      <c r="B15" s="8" t="s">
        <v>12</v>
      </c>
      <c r="C15" s="13" t="s">
        <v>39</v>
      </c>
      <c r="D15" s="21">
        <f>837.7*12*2.61</f>
        <v>26236.764000000003</v>
      </c>
      <c r="F15" s="19">
        <v>8.1199999999999992</v>
      </c>
    </row>
    <row r="16" spans="1:6">
      <c r="A16" s="5"/>
      <c r="B16" s="8" t="s">
        <v>13</v>
      </c>
      <c r="C16" s="13" t="s">
        <v>39</v>
      </c>
      <c r="D16" s="21">
        <f>837.7*12*4.64</f>
        <v>46643.136000000006</v>
      </c>
      <c r="F16" s="19">
        <v>18.14</v>
      </c>
    </row>
    <row r="17" spans="1:6">
      <c r="A17" s="5"/>
      <c r="B17" s="8" t="s">
        <v>36</v>
      </c>
      <c r="C17" s="13" t="s">
        <v>39</v>
      </c>
      <c r="D17" s="21">
        <f>837.7*12*0.1</f>
        <v>1005.2400000000002</v>
      </c>
      <c r="E17" s="16"/>
      <c r="F17" s="19">
        <v>0.41</v>
      </c>
    </row>
    <row r="18" spans="1:6">
      <c r="A18" s="5"/>
      <c r="B18" s="8" t="s">
        <v>38</v>
      </c>
      <c r="C18" s="13" t="s">
        <v>39</v>
      </c>
      <c r="D18" s="21">
        <f>837.7*12*0.43</f>
        <v>4322.5320000000002</v>
      </c>
      <c r="F18" s="19">
        <v>2.52</v>
      </c>
    </row>
    <row r="19" spans="1:6">
      <c r="A19" s="5"/>
      <c r="B19" s="9" t="s">
        <v>14</v>
      </c>
      <c r="C19" s="13" t="s">
        <v>39</v>
      </c>
      <c r="D19" s="11">
        <f>D18+D17+D16+D15+D14+D13+D12+D11+D10</f>
        <v>227783.10800000004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39</v>
      </c>
      <c r="D20" s="11">
        <f>D6-D19</f>
        <v>-20000</v>
      </c>
    </row>
    <row r="21" spans="1:6">
      <c r="A21" s="5"/>
      <c r="B21" s="24" t="s">
        <v>16</v>
      </c>
      <c r="C21" s="25"/>
      <c r="D21" s="26"/>
    </row>
    <row r="22" spans="1:6">
      <c r="A22" s="5"/>
      <c r="B22" s="6" t="s">
        <v>17</v>
      </c>
      <c r="C22" s="13" t="s">
        <v>39</v>
      </c>
      <c r="D22" s="11"/>
    </row>
    <row r="23" spans="1:6">
      <c r="A23" s="5"/>
      <c r="B23" s="7" t="s">
        <v>22</v>
      </c>
      <c r="C23" s="13" t="s">
        <v>39</v>
      </c>
      <c r="D23" s="12">
        <v>1500</v>
      </c>
    </row>
    <row r="24" spans="1:6">
      <c r="A24" s="5"/>
      <c r="B24" s="7" t="s">
        <v>29</v>
      </c>
      <c r="C24" s="13" t="s">
        <v>39</v>
      </c>
      <c r="D24" s="12">
        <v>15000</v>
      </c>
    </row>
    <row r="25" spans="1:6">
      <c r="A25" s="5"/>
      <c r="B25" s="6" t="s">
        <v>15</v>
      </c>
      <c r="C25" s="13" t="s">
        <v>39</v>
      </c>
      <c r="D25" s="11">
        <f>D7-D24-D23</f>
        <v>44618.592000000004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theme="0"/>
  </sheetPr>
  <dimension ref="A1:F24"/>
  <sheetViews>
    <sheetView topLeftCell="A6" workbookViewId="0">
      <selection activeCell="H32" sqref="H32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264632.40000000002</v>
      </c>
    </row>
    <row r="6" spans="1:6">
      <c r="A6" s="5"/>
      <c r="B6" s="7" t="s">
        <v>4</v>
      </c>
      <c r="C6" s="13" t="s">
        <v>39</v>
      </c>
      <c r="D6" s="12">
        <f>824.4*12*20.67</f>
        <v>204484.17600000001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824.4*6.08*12</f>
        <v>60148.224000000002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8" t="s">
        <v>8</v>
      </c>
      <c r="C10" s="13" t="s">
        <v>39</v>
      </c>
      <c r="D10" s="21">
        <f>824.4*12*2.38</f>
        <v>23544.863999999998</v>
      </c>
      <c r="F10" s="19">
        <v>12.62</v>
      </c>
    </row>
    <row r="11" spans="1:6">
      <c r="A11" s="5"/>
      <c r="B11" s="8" t="s">
        <v>40</v>
      </c>
      <c r="C11" s="13" t="s">
        <v>39</v>
      </c>
      <c r="D11" s="21">
        <v>20000</v>
      </c>
      <c r="F11" s="19"/>
    </row>
    <row r="12" spans="1:6">
      <c r="A12" s="5"/>
      <c r="B12" s="8" t="s">
        <v>9</v>
      </c>
      <c r="C12" s="13" t="s">
        <v>39</v>
      </c>
      <c r="D12" s="21">
        <f>824.4*12*4.82</f>
        <v>47683.296000000002</v>
      </c>
      <c r="F12" s="19">
        <v>15.55</v>
      </c>
    </row>
    <row r="13" spans="1:6">
      <c r="A13" s="5"/>
      <c r="B13" s="8" t="s">
        <v>10</v>
      </c>
      <c r="C13" s="13" t="s">
        <v>39</v>
      </c>
      <c r="D13" s="21">
        <f>824.4*12*2.29</f>
        <v>22654.511999999999</v>
      </c>
      <c r="F13" s="19">
        <v>11.46</v>
      </c>
    </row>
    <row r="14" spans="1:6">
      <c r="A14" s="5"/>
      <c r="B14" s="8" t="s">
        <v>11</v>
      </c>
      <c r="C14" s="13" t="s">
        <v>39</v>
      </c>
      <c r="D14" s="21">
        <f>824.4*12*3.4</f>
        <v>33635.519999999997</v>
      </c>
      <c r="F14" s="19">
        <v>13.98</v>
      </c>
    </row>
    <row r="15" spans="1:6">
      <c r="A15" s="5"/>
      <c r="B15" s="8" t="s">
        <v>12</v>
      </c>
      <c r="C15" s="13" t="s">
        <v>39</v>
      </c>
      <c r="D15" s="21">
        <f>824.4*12*2.61</f>
        <v>25820.207999999995</v>
      </c>
      <c r="F15" s="19">
        <v>8.1199999999999992</v>
      </c>
    </row>
    <row r="16" spans="1:6">
      <c r="A16" s="5"/>
      <c r="B16" s="8" t="s">
        <v>13</v>
      </c>
      <c r="C16" s="13" t="s">
        <v>39</v>
      </c>
      <c r="D16" s="21">
        <f>824.4*12*4.64</f>
        <v>45902.591999999997</v>
      </c>
      <c r="F16" s="19">
        <v>18.14</v>
      </c>
    </row>
    <row r="17" spans="1:6">
      <c r="A17" s="5"/>
      <c r="B17" s="8" t="s">
        <v>36</v>
      </c>
      <c r="C17" s="13" t="s">
        <v>39</v>
      </c>
      <c r="D17" s="21">
        <f>824.4*12*0.1</f>
        <v>989.28</v>
      </c>
      <c r="E17" s="16"/>
      <c r="F17" s="19">
        <v>0.41</v>
      </c>
    </row>
    <row r="18" spans="1:6">
      <c r="A18" s="5"/>
      <c r="B18" s="8" t="s">
        <v>38</v>
      </c>
      <c r="C18" s="13" t="s">
        <v>39</v>
      </c>
      <c r="D18" s="21">
        <f>824.4*12*0.43</f>
        <v>4253.9039999999995</v>
      </c>
      <c r="F18" s="19">
        <v>2.52</v>
      </c>
    </row>
    <row r="19" spans="1:6">
      <c r="A19" s="5"/>
      <c r="B19" s="9" t="s">
        <v>14</v>
      </c>
      <c r="C19" s="13" t="s">
        <v>39</v>
      </c>
      <c r="D19" s="11">
        <f>D18+D17+D16+D15+D14+D13+D12+D11+D10</f>
        <v>224484.17599999998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39</v>
      </c>
      <c r="D20" s="11">
        <f>D6-D19</f>
        <v>-19999.999999999971</v>
      </c>
    </row>
    <row r="21" spans="1:6">
      <c r="A21" s="5"/>
      <c r="B21" s="24" t="s">
        <v>16</v>
      </c>
      <c r="C21" s="25"/>
      <c r="D21" s="26"/>
    </row>
    <row r="22" spans="1:6">
      <c r="A22" s="5"/>
      <c r="B22" s="6" t="s">
        <v>17</v>
      </c>
      <c r="C22" s="13" t="s">
        <v>39</v>
      </c>
      <c r="D22" s="11"/>
    </row>
    <row r="23" spans="1:6">
      <c r="A23" s="5"/>
      <c r="B23" s="7" t="s">
        <v>29</v>
      </c>
      <c r="C23" s="13" t="s">
        <v>39</v>
      </c>
      <c r="D23" s="12">
        <v>15000</v>
      </c>
    </row>
    <row r="24" spans="1:6">
      <c r="A24" s="5"/>
      <c r="B24" s="6" t="s">
        <v>15</v>
      </c>
      <c r="C24" s="13" t="s">
        <v>39</v>
      </c>
      <c r="D24" s="11">
        <f>D7-D23</f>
        <v>45148.224000000002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theme="0"/>
  </sheetPr>
  <dimension ref="A1:F24"/>
  <sheetViews>
    <sheetView topLeftCell="A6" workbookViewId="0">
      <selection activeCell="A24" sqref="A24:XFD38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268291.8</v>
      </c>
    </row>
    <row r="6" spans="1:6">
      <c r="A6" s="5"/>
      <c r="B6" s="7" t="s">
        <v>4</v>
      </c>
      <c r="C6" s="13" t="s">
        <v>39</v>
      </c>
      <c r="D6" s="12">
        <f>835.8*12*20.67</f>
        <v>207311.83199999999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835.8*6.08*12</f>
        <v>60979.967999999993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8" t="s">
        <v>8</v>
      </c>
      <c r="C10" s="13" t="s">
        <v>39</v>
      </c>
      <c r="D10" s="21">
        <f>835.8*12*2.38</f>
        <v>23870.447999999997</v>
      </c>
      <c r="F10" s="19">
        <v>12.62</v>
      </c>
    </row>
    <row r="11" spans="1:6">
      <c r="A11" s="5"/>
      <c r="B11" s="8" t="s">
        <v>40</v>
      </c>
      <c r="C11" s="13" t="s">
        <v>39</v>
      </c>
      <c r="D11" s="21">
        <v>20000</v>
      </c>
      <c r="F11" s="19"/>
    </row>
    <row r="12" spans="1:6">
      <c r="A12" s="5"/>
      <c r="B12" s="8" t="s">
        <v>9</v>
      </c>
      <c r="C12" s="13" t="s">
        <v>39</v>
      </c>
      <c r="D12" s="21">
        <f>835.8*12*4.82</f>
        <v>48342.671999999999</v>
      </c>
      <c r="F12" s="19">
        <v>15.55</v>
      </c>
    </row>
    <row r="13" spans="1:6">
      <c r="A13" s="5"/>
      <c r="B13" s="8" t="s">
        <v>10</v>
      </c>
      <c r="C13" s="13" t="s">
        <v>39</v>
      </c>
      <c r="D13" s="21">
        <f>835.8*12*2.29</f>
        <v>22967.783999999996</v>
      </c>
      <c r="F13" s="19">
        <v>11.46</v>
      </c>
    </row>
    <row r="14" spans="1:6">
      <c r="A14" s="5"/>
      <c r="B14" s="8" t="s">
        <v>11</v>
      </c>
      <c r="C14" s="13" t="s">
        <v>39</v>
      </c>
      <c r="D14" s="21">
        <f>835.8*12*3.4</f>
        <v>34100.639999999992</v>
      </c>
      <c r="F14" s="19">
        <v>13.98</v>
      </c>
    </row>
    <row r="15" spans="1:6">
      <c r="A15" s="5"/>
      <c r="B15" s="8" t="s">
        <v>12</v>
      </c>
      <c r="C15" s="13" t="s">
        <v>39</v>
      </c>
      <c r="D15" s="21">
        <f>835.8*12*2.61</f>
        <v>26177.255999999994</v>
      </c>
      <c r="F15" s="19">
        <v>8.1199999999999992</v>
      </c>
    </row>
    <row r="16" spans="1:6">
      <c r="A16" s="5"/>
      <c r="B16" s="8" t="s">
        <v>13</v>
      </c>
      <c r="C16" s="13" t="s">
        <v>39</v>
      </c>
      <c r="D16" s="21">
        <f>835.8*12*4.64</f>
        <v>46537.34399999999</v>
      </c>
      <c r="F16" s="19">
        <v>18.14</v>
      </c>
    </row>
    <row r="17" spans="1:6">
      <c r="A17" s="5"/>
      <c r="B17" s="8" t="s">
        <v>36</v>
      </c>
      <c r="C17" s="13" t="s">
        <v>39</v>
      </c>
      <c r="D17" s="21">
        <f>835.8*12*0.1</f>
        <v>1002.9599999999999</v>
      </c>
      <c r="E17" s="16"/>
      <c r="F17" s="19">
        <v>0.41</v>
      </c>
    </row>
    <row r="18" spans="1:6">
      <c r="A18" s="5"/>
      <c r="B18" s="8" t="s">
        <v>38</v>
      </c>
      <c r="C18" s="13" t="s">
        <v>39</v>
      </c>
      <c r="D18" s="21">
        <f>835.8*12*0.43</f>
        <v>4312.7279999999992</v>
      </c>
      <c r="F18" s="19">
        <v>2.52</v>
      </c>
    </row>
    <row r="19" spans="1:6">
      <c r="A19" s="5"/>
      <c r="B19" s="9" t="s">
        <v>14</v>
      </c>
      <c r="C19" s="13" t="s">
        <v>39</v>
      </c>
      <c r="D19" s="11">
        <f>D18+D17+D16+D15+D14+D13+D12+D11+D10</f>
        <v>227311.83199999997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39</v>
      </c>
      <c r="D20" s="11">
        <f>D6-D19</f>
        <v>-19999.999999999971</v>
      </c>
    </row>
    <row r="21" spans="1:6">
      <c r="A21" s="5"/>
      <c r="B21" s="24" t="s">
        <v>16</v>
      </c>
      <c r="C21" s="25"/>
      <c r="D21" s="26"/>
    </row>
    <row r="22" spans="1:6">
      <c r="A22" s="5"/>
      <c r="B22" s="6" t="s">
        <v>17</v>
      </c>
      <c r="C22" s="13" t="s">
        <v>39</v>
      </c>
      <c r="D22" s="11"/>
    </row>
    <row r="23" spans="1:6">
      <c r="A23" s="5"/>
      <c r="B23" s="7" t="s">
        <v>29</v>
      </c>
      <c r="C23" s="13" t="s">
        <v>39</v>
      </c>
      <c r="D23" s="12">
        <v>15000</v>
      </c>
    </row>
    <row r="24" spans="1:6">
      <c r="A24" s="5"/>
      <c r="B24" s="6" t="s">
        <v>15</v>
      </c>
      <c r="C24" s="13" t="s">
        <v>39</v>
      </c>
      <c r="D24" s="11">
        <f>D7-D23</f>
        <v>45979.967999999993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theme="0"/>
  </sheetPr>
  <dimension ref="A1:F25"/>
  <sheetViews>
    <sheetView topLeftCell="A11" workbookViewId="0">
      <selection activeCell="A26" sqref="A23:XFD2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274069.8</v>
      </c>
    </row>
    <row r="6" spans="1:6">
      <c r="A6" s="5"/>
      <c r="B6" s="7" t="s">
        <v>4</v>
      </c>
      <c r="C6" s="13" t="s">
        <v>39</v>
      </c>
      <c r="D6" s="12">
        <f>853.8*12*20.67</f>
        <v>211776.552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853.8*6.08*12</f>
        <v>62293.247999999992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8" t="s">
        <v>8</v>
      </c>
      <c r="C10" s="13" t="s">
        <v>39</v>
      </c>
      <c r="D10" s="21">
        <f>853.8*12*2.38</f>
        <v>24384.527999999995</v>
      </c>
      <c r="F10" s="19">
        <v>12.62</v>
      </c>
    </row>
    <row r="11" spans="1:6">
      <c r="A11" s="5"/>
      <c r="B11" s="8" t="s">
        <v>40</v>
      </c>
      <c r="C11" s="13" t="s">
        <v>39</v>
      </c>
      <c r="D11" s="21">
        <v>20000</v>
      </c>
      <c r="F11" s="19"/>
    </row>
    <row r="12" spans="1:6">
      <c r="A12" s="5"/>
      <c r="B12" s="8" t="s">
        <v>9</v>
      </c>
      <c r="C12" s="13" t="s">
        <v>39</v>
      </c>
      <c r="D12" s="21">
        <f>853.8*12*4.82</f>
        <v>49383.791999999994</v>
      </c>
      <c r="F12" s="19">
        <v>15.55</v>
      </c>
    </row>
    <row r="13" spans="1:6">
      <c r="A13" s="5"/>
      <c r="B13" s="8" t="s">
        <v>10</v>
      </c>
      <c r="C13" s="13" t="s">
        <v>39</v>
      </c>
      <c r="D13" s="21">
        <f>853.8*12*2.29</f>
        <v>23462.423999999995</v>
      </c>
      <c r="F13" s="19">
        <v>11.46</v>
      </c>
    </row>
    <row r="14" spans="1:6">
      <c r="A14" s="5"/>
      <c r="B14" s="8" t="s">
        <v>11</v>
      </c>
      <c r="C14" s="13" t="s">
        <v>39</v>
      </c>
      <c r="D14" s="21">
        <f>853.8*12*3.4</f>
        <v>34835.039999999994</v>
      </c>
      <c r="F14" s="19">
        <v>13.98</v>
      </c>
    </row>
    <row r="15" spans="1:6">
      <c r="A15" s="5"/>
      <c r="B15" s="8" t="s">
        <v>12</v>
      </c>
      <c r="C15" s="13" t="s">
        <v>39</v>
      </c>
      <c r="D15" s="21">
        <f>853.8*12*2.61</f>
        <v>26741.015999999996</v>
      </c>
      <c r="F15" s="19">
        <v>8.1199999999999992</v>
      </c>
    </row>
    <row r="16" spans="1:6">
      <c r="A16" s="5"/>
      <c r="B16" s="8" t="s">
        <v>13</v>
      </c>
      <c r="C16" s="13" t="s">
        <v>39</v>
      </c>
      <c r="D16" s="21">
        <f>853.8*12*4.64</f>
        <v>47539.583999999988</v>
      </c>
      <c r="F16" s="19">
        <v>18.14</v>
      </c>
    </row>
    <row r="17" spans="1:6">
      <c r="A17" s="5"/>
      <c r="B17" s="8" t="s">
        <v>36</v>
      </c>
      <c r="C17" s="13" t="s">
        <v>39</v>
      </c>
      <c r="D17" s="21">
        <f>853.8*12*0.1</f>
        <v>1024.56</v>
      </c>
      <c r="E17" s="16"/>
      <c r="F17" s="19">
        <v>0.41</v>
      </c>
    </row>
    <row r="18" spans="1:6">
      <c r="A18" s="5"/>
      <c r="B18" s="8" t="s">
        <v>38</v>
      </c>
      <c r="C18" s="13" t="s">
        <v>39</v>
      </c>
      <c r="D18" s="21">
        <f>853.8*12*0.43</f>
        <v>4405.6079999999993</v>
      </c>
      <c r="F18" s="19">
        <v>2.52</v>
      </c>
    </row>
    <row r="19" spans="1:6">
      <c r="A19" s="5"/>
      <c r="B19" s="9" t="s">
        <v>14</v>
      </c>
      <c r="C19" s="13" t="s">
        <v>39</v>
      </c>
      <c r="D19" s="11">
        <f>D18+D17+D16+D15+D14+D13+D12+D11+D10</f>
        <v>231776.55199999994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39</v>
      </c>
      <c r="D20" s="11">
        <f>D6-D19</f>
        <v>-19999.999999999942</v>
      </c>
    </row>
    <row r="21" spans="1:6">
      <c r="A21" s="5"/>
      <c r="B21" s="24" t="s">
        <v>16</v>
      </c>
      <c r="C21" s="25"/>
      <c r="D21" s="26"/>
    </row>
    <row r="22" spans="1:6">
      <c r="A22" s="5"/>
      <c r="B22" s="6" t="s">
        <v>17</v>
      </c>
      <c r="C22" s="13" t="s">
        <v>39</v>
      </c>
      <c r="D22" s="11"/>
    </row>
    <row r="23" spans="1:6">
      <c r="A23" s="5"/>
      <c r="B23" s="7" t="s">
        <v>20</v>
      </c>
      <c r="C23" s="13" t="s">
        <v>39</v>
      </c>
      <c r="D23" s="12">
        <v>1200</v>
      </c>
    </row>
    <row r="24" spans="1:6">
      <c r="A24" s="5"/>
      <c r="B24" s="7" t="s">
        <v>29</v>
      </c>
      <c r="C24" s="13" t="s">
        <v>39</v>
      </c>
      <c r="D24" s="12">
        <v>15000</v>
      </c>
    </row>
    <row r="25" spans="1:6">
      <c r="A25" s="5"/>
      <c r="B25" s="6" t="s">
        <v>15</v>
      </c>
      <c r="C25" s="13" t="s">
        <v>39</v>
      </c>
      <c r="D25" s="11">
        <f>D7-D24-D23</f>
        <v>46093.247999999992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theme="0"/>
  </sheetPr>
  <dimension ref="A1:F24"/>
  <sheetViews>
    <sheetView topLeftCell="A6" workbookViewId="0">
      <selection activeCell="A78" sqref="A23:XFD78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268901.70000000007</v>
      </c>
    </row>
    <row r="6" spans="1:6">
      <c r="A6" s="5"/>
      <c r="B6" s="7" t="s">
        <v>4</v>
      </c>
      <c r="C6" s="13" t="s">
        <v>39</v>
      </c>
      <c r="D6" s="12">
        <f>837.7*12*20.67</f>
        <v>207783.10800000004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837.7*6.08*12</f>
        <v>61118.592000000004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8" t="s">
        <v>8</v>
      </c>
      <c r="C10" s="13" t="s">
        <v>39</v>
      </c>
      <c r="D10" s="21">
        <f>837.7*12*2.38</f>
        <v>23924.712000000003</v>
      </c>
      <c r="F10" s="19">
        <v>12.62</v>
      </c>
    </row>
    <row r="11" spans="1:6">
      <c r="A11" s="5"/>
      <c r="B11" s="8" t="s">
        <v>40</v>
      </c>
      <c r="C11" s="13" t="s">
        <v>39</v>
      </c>
      <c r="D11" s="21">
        <v>20000</v>
      </c>
      <c r="F11" s="19"/>
    </row>
    <row r="12" spans="1:6">
      <c r="A12" s="5"/>
      <c r="B12" s="8" t="s">
        <v>9</v>
      </c>
      <c r="C12" s="13" t="s">
        <v>39</v>
      </c>
      <c r="D12" s="21">
        <f>837.7*12*4.82</f>
        <v>48452.568000000007</v>
      </c>
      <c r="F12" s="19">
        <v>15.55</v>
      </c>
    </row>
    <row r="13" spans="1:6">
      <c r="A13" s="5"/>
      <c r="B13" s="8" t="s">
        <v>10</v>
      </c>
      <c r="C13" s="13" t="s">
        <v>39</v>
      </c>
      <c r="D13" s="21">
        <f>837.7*12*2.29</f>
        <v>23019.996000000003</v>
      </c>
      <c r="F13" s="19">
        <v>11.46</v>
      </c>
    </row>
    <row r="14" spans="1:6">
      <c r="A14" s="5"/>
      <c r="B14" s="8" t="s">
        <v>11</v>
      </c>
      <c r="C14" s="13" t="s">
        <v>39</v>
      </c>
      <c r="D14" s="21">
        <f>837.7*12*3.4</f>
        <v>34178.160000000003</v>
      </c>
      <c r="F14" s="19">
        <v>13.98</v>
      </c>
    </row>
    <row r="15" spans="1:6">
      <c r="A15" s="5"/>
      <c r="B15" s="8" t="s">
        <v>12</v>
      </c>
      <c r="C15" s="13" t="s">
        <v>39</v>
      </c>
      <c r="D15" s="21">
        <f>837.7*12*2.61</f>
        <v>26236.764000000003</v>
      </c>
      <c r="F15" s="19">
        <v>8.1199999999999992</v>
      </c>
    </row>
    <row r="16" spans="1:6">
      <c r="A16" s="5"/>
      <c r="B16" s="8" t="s">
        <v>13</v>
      </c>
      <c r="C16" s="13" t="s">
        <v>39</v>
      </c>
      <c r="D16" s="21">
        <f>837.7*12*4.64</f>
        <v>46643.136000000006</v>
      </c>
      <c r="F16" s="19">
        <v>18.14</v>
      </c>
    </row>
    <row r="17" spans="1:6">
      <c r="A17" s="5"/>
      <c r="B17" s="8" t="s">
        <v>36</v>
      </c>
      <c r="C17" s="13" t="s">
        <v>39</v>
      </c>
      <c r="D17" s="21">
        <f>837.7*12*0.1</f>
        <v>1005.2400000000002</v>
      </c>
      <c r="E17" s="16"/>
      <c r="F17" s="19">
        <v>0.41</v>
      </c>
    </row>
    <row r="18" spans="1:6">
      <c r="A18" s="5"/>
      <c r="B18" s="8" t="s">
        <v>38</v>
      </c>
      <c r="C18" s="13" t="s">
        <v>39</v>
      </c>
      <c r="D18" s="21">
        <f>837.7*12*0.43</f>
        <v>4322.5320000000002</v>
      </c>
      <c r="F18" s="19">
        <v>2.52</v>
      </c>
    </row>
    <row r="19" spans="1:6">
      <c r="A19" s="5"/>
      <c r="B19" s="9" t="s">
        <v>14</v>
      </c>
      <c r="C19" s="13" t="s">
        <v>39</v>
      </c>
      <c r="D19" s="11">
        <f>D18+D17+D16+D15+D14+D13+D12+D11+D10</f>
        <v>227783.10800000004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39</v>
      </c>
      <c r="D20" s="11">
        <f>D6-D19</f>
        <v>-20000</v>
      </c>
    </row>
    <row r="21" spans="1:6">
      <c r="A21" s="5"/>
      <c r="B21" s="24" t="s">
        <v>16</v>
      </c>
      <c r="C21" s="25"/>
      <c r="D21" s="26"/>
    </row>
    <row r="22" spans="1:6">
      <c r="A22" s="5"/>
      <c r="B22" s="6" t="s">
        <v>17</v>
      </c>
      <c r="C22" s="13" t="s">
        <v>39</v>
      </c>
      <c r="D22" s="11"/>
    </row>
    <row r="23" spans="1:6">
      <c r="A23" s="5"/>
      <c r="B23" s="7" t="s">
        <v>29</v>
      </c>
      <c r="C23" s="13" t="s">
        <v>39</v>
      </c>
      <c r="D23" s="12">
        <v>15000</v>
      </c>
    </row>
    <row r="24" spans="1:6">
      <c r="A24" s="5"/>
      <c r="B24" s="6" t="s">
        <v>15</v>
      </c>
      <c r="C24" s="13" t="s">
        <v>39</v>
      </c>
      <c r="D24" s="11">
        <f>D7-D23</f>
        <v>46118.592000000004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F28"/>
  <sheetViews>
    <sheetView topLeftCell="A14" workbookViewId="0">
      <selection activeCell="D43" sqref="D43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178919.98799999998</v>
      </c>
    </row>
    <row r="6" spans="1:6">
      <c r="A6" s="5"/>
      <c r="B6" s="7" t="s">
        <v>4</v>
      </c>
      <c r="C6" s="13" t="s">
        <v>39</v>
      </c>
      <c r="D6" s="12">
        <f>796.9*12*14.66</f>
        <v>140190.64799999999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796.9*4.05*12</f>
        <v>38729.339999999997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796.9*12*0.29</f>
        <v>2773.2119999999995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796.9*12*2.23</f>
        <v>21325.043999999998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796.9*12*1.85</f>
        <v>17691.18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796.9*12*2.28</f>
        <v>21803.183999999997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796.9*12*1.68</f>
        <v>16065.503999999999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796.9*12*2.05</f>
        <v>19603.739999999998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796.9*12*1.19</f>
        <v>11379.731999999998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796.9*12*2.66</f>
        <v>25437.047999999999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796.9*12*0.06</f>
        <v>573.76799999999992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796.9*12*0.37</f>
        <v>3538.2359999999999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160190.64799999999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-20000</v>
      </c>
    </row>
    <row r="23" spans="1:6">
      <c r="A23" s="5"/>
      <c r="B23" s="24" t="s">
        <v>16</v>
      </c>
      <c r="C23" s="25"/>
      <c r="D23" s="26"/>
    </row>
    <row r="24" spans="1:6">
      <c r="A24" s="5"/>
      <c r="B24" s="7" t="s">
        <v>19</v>
      </c>
      <c r="C24" s="13" t="s">
        <v>39</v>
      </c>
      <c r="D24" s="12">
        <v>2200</v>
      </c>
    </row>
    <row r="25" spans="1:6">
      <c r="A25" s="5"/>
      <c r="B25" s="7" t="s">
        <v>21</v>
      </c>
      <c r="C25" s="13" t="s">
        <v>39</v>
      </c>
      <c r="D25" s="12">
        <v>26000</v>
      </c>
    </row>
    <row r="26" spans="1:6">
      <c r="A26" s="5"/>
      <c r="B26" s="7" t="s">
        <v>29</v>
      </c>
      <c r="C26" s="13" t="s">
        <v>39</v>
      </c>
      <c r="D26" s="12">
        <v>15000</v>
      </c>
    </row>
    <row r="27" spans="1:6">
      <c r="A27" s="5"/>
      <c r="B27" s="7" t="s">
        <v>31</v>
      </c>
      <c r="C27" s="13" t="s">
        <v>39</v>
      </c>
      <c r="D27" s="12">
        <v>5000</v>
      </c>
    </row>
    <row r="28" spans="1:6">
      <c r="A28" s="5"/>
      <c r="B28" s="6" t="s">
        <v>15</v>
      </c>
      <c r="C28" s="13" t="s">
        <v>39</v>
      </c>
      <c r="D28" s="11">
        <f>D7-D25-D27-D26</f>
        <v>-7270.6600000000035</v>
      </c>
    </row>
  </sheetData>
  <mergeCells count="3">
    <mergeCell ref="B23:D23"/>
    <mergeCell ref="A2:D2"/>
    <mergeCell ref="B9:D9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theme="0"/>
  </sheetPr>
  <dimension ref="A1:F28"/>
  <sheetViews>
    <sheetView topLeftCell="A19" workbookViewId="0">
      <selection activeCell="H46" sqref="H4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185229</v>
      </c>
    </row>
    <row r="6" spans="1:6">
      <c r="A6" s="5"/>
      <c r="B6" s="7" t="s">
        <v>4</v>
      </c>
      <c r="C6" s="13" t="s">
        <v>39</v>
      </c>
      <c r="D6" s="12">
        <f>825*12*14.66</f>
        <v>145134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825*4.05*12</f>
        <v>40095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825*12*0.29</f>
        <v>2871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825*12*2.23</f>
        <v>22077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825*12*1.85</f>
        <v>18315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825*12*2.28</f>
        <v>22571.999999999996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825*12*1.68</f>
        <v>16632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825*12*2.05</f>
        <v>20295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825*12*1.19</f>
        <v>11781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825*12*2.66</f>
        <v>26334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825*12*0.06</f>
        <v>594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825*12*0.37</f>
        <v>3663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165134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-20000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21</v>
      </c>
      <c r="C25" s="13" t="s">
        <v>39</v>
      </c>
      <c r="D25" s="12">
        <v>33400</v>
      </c>
    </row>
    <row r="26" spans="1:6">
      <c r="A26" s="5"/>
      <c r="B26" s="7" t="s">
        <v>22</v>
      </c>
      <c r="C26" s="13" t="s">
        <v>39</v>
      </c>
      <c r="D26" s="12">
        <v>500</v>
      </c>
    </row>
    <row r="27" spans="1:6">
      <c r="A27" s="5"/>
      <c r="B27" s="7" t="s">
        <v>29</v>
      </c>
      <c r="C27" s="13" t="s">
        <v>39</v>
      </c>
      <c r="D27" s="12">
        <v>15000</v>
      </c>
    </row>
    <row r="28" spans="1:6">
      <c r="A28" s="5"/>
      <c r="B28" s="6" t="s">
        <v>15</v>
      </c>
      <c r="C28" s="13" t="s">
        <v>39</v>
      </c>
      <c r="D28" s="11">
        <f>-D27-D26-D25</f>
        <v>-48900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theme="0"/>
  </sheetPr>
  <dimension ref="A1:F27"/>
  <sheetViews>
    <sheetView topLeftCell="A14" workbookViewId="0">
      <selection activeCell="K37" sqref="K37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184196.20799999998</v>
      </c>
    </row>
    <row r="6" spans="1:6">
      <c r="A6" s="5"/>
      <c r="B6" s="7" t="s">
        <v>4</v>
      </c>
      <c r="C6" s="13" t="s">
        <v>39</v>
      </c>
      <c r="D6" s="12">
        <f>820.4*12*14.66</f>
        <v>144324.76799999998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820.4*4.05*12</f>
        <v>39871.440000000002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820.4*12*0.29</f>
        <v>2854.9919999999997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820.4*12*2.23</f>
        <v>21953.903999999999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820.4*12*1.85</f>
        <v>18212.88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820.4*12*2.28</f>
        <v>22446.143999999997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820.4*12*1.68</f>
        <v>16539.263999999999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820.4*12*2.05</f>
        <v>20181.839999999997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820.4*12*1.19</f>
        <v>11715.311999999998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820.4*12*2.66</f>
        <v>26187.167999999998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820.4*12*0.06</f>
        <v>590.68799999999999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820.4*12*0.37</f>
        <v>3642.5759999999996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164324.76799999998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-20000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21</v>
      </c>
      <c r="C25" s="13" t="s">
        <v>39</v>
      </c>
      <c r="D25" s="12">
        <v>33400</v>
      </c>
    </row>
    <row r="26" spans="1:6">
      <c r="A26" s="5"/>
      <c r="B26" s="7" t="s">
        <v>30</v>
      </c>
      <c r="C26" s="13" t="s">
        <v>39</v>
      </c>
      <c r="D26" s="12">
        <v>15000</v>
      </c>
    </row>
    <row r="27" spans="1:6">
      <c r="A27" s="5"/>
      <c r="B27" s="6" t="s">
        <v>15</v>
      </c>
      <c r="C27" s="13" t="s">
        <v>39</v>
      </c>
      <c r="D27" s="11">
        <f>D7-D25-D26</f>
        <v>-8528.5599999999977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theme="0"/>
  </sheetPr>
  <dimension ref="A1:F27"/>
  <sheetViews>
    <sheetView topLeftCell="A5" workbookViewId="0">
      <selection activeCell="I33" sqref="I33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185296.35599999997</v>
      </c>
    </row>
    <row r="6" spans="1:6">
      <c r="A6" s="5"/>
      <c r="B6" s="7" t="s">
        <v>4</v>
      </c>
      <c r="C6" s="13" t="s">
        <v>39</v>
      </c>
      <c r="D6" s="12">
        <f>825.3*12*14.66</f>
        <v>145186.77599999998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825.3*4.05*12</f>
        <v>40109.579999999994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825.3*12*0.29</f>
        <v>2872.0439999999994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825.3*12*2.23</f>
        <v>22085.027999999995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825.3*12*1.85</f>
        <v>18321.66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825.3*12*2.28</f>
        <v>22580.207999999995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825.3*12*1.68</f>
        <v>16638.047999999995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825.3*12*2.05</f>
        <v>20302.379999999994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825.3*12*1.19</f>
        <v>11785.283999999998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825.3*12*2.66</f>
        <v>26343.575999999997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825.3*12*0.06</f>
        <v>594.21599999999989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825.3*12*0.37</f>
        <v>3664.3319999999994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165186.77599999995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-19999.999999999971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21</v>
      </c>
      <c r="C25" s="13" t="s">
        <v>39</v>
      </c>
      <c r="D25" s="12">
        <v>34200</v>
      </c>
    </row>
    <row r="26" spans="1:6">
      <c r="A26" s="5"/>
      <c r="B26" s="7" t="s">
        <v>29</v>
      </c>
      <c r="C26" s="13" t="s">
        <v>39</v>
      </c>
      <c r="D26" s="12">
        <v>15000</v>
      </c>
    </row>
    <row r="27" spans="1:6">
      <c r="A27" s="5"/>
      <c r="B27" s="6" t="s">
        <v>15</v>
      </c>
      <c r="C27" s="13" t="s">
        <v>39</v>
      </c>
      <c r="D27" s="11">
        <f>D7-D25-D26</f>
        <v>-9090.4200000000055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theme="0"/>
  </sheetPr>
  <dimension ref="A1:F28"/>
  <sheetViews>
    <sheetView topLeftCell="A21" workbookViewId="0">
      <selection activeCell="A29" sqref="A25:XFD29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186598.57200000001</v>
      </c>
    </row>
    <row r="6" spans="1:6">
      <c r="A6" s="5"/>
      <c r="B6" s="7" t="s">
        <v>4</v>
      </c>
      <c r="C6" s="13" t="s">
        <v>39</v>
      </c>
      <c r="D6" s="12">
        <f>831.1*12*14.66</f>
        <v>146207.11200000002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831.1*4.05*12</f>
        <v>40391.46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831.1*12*0.29</f>
        <v>2892.2280000000001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831.1*12*2.23</f>
        <v>22240.236000000001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831.1*12*1.85</f>
        <v>18450.420000000002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831.1*12*2.28</f>
        <v>22738.896000000001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831.1*12*1.68</f>
        <v>16754.976000000002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831.1*12*2.05</f>
        <v>20445.060000000001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831.1*12*1.19</f>
        <v>11868.108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831.1*12*2.66</f>
        <v>26528.712000000003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831.1*12*0.06</f>
        <v>598.39200000000005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831.1*12*0.37</f>
        <v>3690.0840000000003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166207.11200000002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-20000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21</v>
      </c>
      <c r="C25" s="13" t="s">
        <v>39</v>
      </c>
      <c r="D25" s="12">
        <v>34200</v>
      </c>
    </row>
    <row r="26" spans="1:6">
      <c r="A26" s="5"/>
      <c r="B26" s="7" t="s">
        <v>23</v>
      </c>
      <c r="C26" s="13" t="s">
        <v>39</v>
      </c>
      <c r="D26" s="12">
        <v>250</v>
      </c>
    </row>
    <row r="27" spans="1:6">
      <c r="A27" s="5"/>
      <c r="B27" s="7" t="s">
        <v>29</v>
      </c>
      <c r="C27" s="13" t="s">
        <v>39</v>
      </c>
      <c r="D27" s="12">
        <v>15000</v>
      </c>
    </row>
    <row r="28" spans="1:6">
      <c r="A28" s="5"/>
      <c r="B28" s="6" t="s">
        <v>15</v>
      </c>
      <c r="C28" s="13" t="s">
        <v>39</v>
      </c>
      <c r="D28" s="11">
        <f>D7-D25-D27-D26</f>
        <v>-9058.5400000000009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theme="0"/>
  </sheetPr>
  <dimension ref="A1:F27"/>
  <sheetViews>
    <sheetView topLeftCell="A9" workbookViewId="0">
      <selection activeCell="H41" sqref="H41"/>
    </sheetView>
  </sheetViews>
  <sheetFormatPr defaultRowHeight="12"/>
  <cols>
    <col min="1" max="1" width="2.88671875" style="3" customWidth="1"/>
    <col min="2" max="2" width="50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185969.916</v>
      </c>
    </row>
    <row r="6" spans="1:6">
      <c r="A6" s="5"/>
      <c r="B6" s="7" t="s">
        <v>4</v>
      </c>
      <c r="C6" s="13" t="s">
        <v>39</v>
      </c>
      <c r="D6" s="12">
        <f>828.3*12*14.66</f>
        <v>145714.53599999999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828.3*4.05*12</f>
        <v>40255.379999999997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828.3*12*0.29</f>
        <v>2882.4839999999995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828.3*12*2.23</f>
        <v>22165.307999999997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828.3*12*1.85</f>
        <v>18388.259999999998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828.3*12*2.28</f>
        <v>22662.287999999993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828.3*12*1.68</f>
        <v>16698.527999999998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828.3*12*2.05</f>
        <v>20376.179999999997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828.3*12*1.19</f>
        <v>11828.123999999998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828.3*12*2.66</f>
        <v>26439.335999999999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828.3*12*0.06</f>
        <v>596.37599999999986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828.3*12*0.37</f>
        <v>3677.6519999999996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165714.53599999999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-20000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21</v>
      </c>
      <c r="C25" s="13" t="s">
        <v>39</v>
      </c>
      <c r="D25" s="12">
        <v>34200</v>
      </c>
    </row>
    <row r="26" spans="1:6">
      <c r="A26" s="5"/>
      <c r="B26" s="7" t="s">
        <v>29</v>
      </c>
      <c r="C26" s="13" t="s">
        <v>39</v>
      </c>
      <c r="D26" s="12">
        <v>15000</v>
      </c>
    </row>
    <row r="27" spans="1:6">
      <c r="A27" s="5"/>
      <c r="B27" s="6" t="s">
        <v>15</v>
      </c>
      <c r="C27" s="13" t="s">
        <v>39</v>
      </c>
      <c r="D27" s="11">
        <f>D7-D25-D26</f>
        <v>-8944.6200000000026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theme="0"/>
  </sheetPr>
  <dimension ref="A1:F27"/>
  <sheetViews>
    <sheetView topLeftCell="A2" workbookViewId="0">
      <selection activeCell="A29" sqref="A25:XFD29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184488.08400000003</v>
      </c>
    </row>
    <row r="6" spans="1:6">
      <c r="A6" s="5"/>
      <c r="B6" s="7" t="s">
        <v>4</v>
      </c>
      <c r="C6" s="13" t="s">
        <v>39</v>
      </c>
      <c r="D6" s="12">
        <f>821.7*12*14.66</f>
        <v>144553.46400000004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821.7*4.05*12</f>
        <v>39934.620000000003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821.7*12*0.29</f>
        <v>2859.5160000000001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821.7*12*2.23</f>
        <v>21988.692000000003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821.7*12*1.85</f>
        <v>18241.740000000005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821.7*12*2.28</f>
        <v>22481.712000000003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821.7*12*1.68</f>
        <v>16565.472000000002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821.7*12*2.05</f>
        <v>20213.82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821.7*12*1.19</f>
        <v>11733.876000000002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821.7*12*2.66</f>
        <v>26228.664000000004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821.7*12*0.06</f>
        <v>591.62400000000002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821.7*12*0.37</f>
        <v>3648.3480000000004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164553.46400000001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-19999.999999999971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21</v>
      </c>
      <c r="C25" s="13" t="s">
        <v>39</v>
      </c>
      <c r="D25" s="12">
        <v>34200</v>
      </c>
    </row>
    <row r="26" spans="1:6">
      <c r="A26" s="5"/>
      <c r="B26" s="7" t="s">
        <v>29</v>
      </c>
      <c r="C26" s="13" t="s">
        <v>39</v>
      </c>
      <c r="D26" s="12">
        <v>15000</v>
      </c>
    </row>
    <row r="27" spans="1:6">
      <c r="A27" s="5"/>
      <c r="B27" s="6" t="s">
        <v>15</v>
      </c>
      <c r="C27" s="13" t="s">
        <v>39</v>
      </c>
      <c r="D27" s="11">
        <f>D7-D25-D26</f>
        <v>-9265.3799999999974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theme="0"/>
  </sheetPr>
  <dimension ref="A1:F27"/>
  <sheetViews>
    <sheetView topLeftCell="A5" workbookViewId="0">
      <selection activeCell="J23" sqref="J23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188574.348</v>
      </c>
    </row>
    <row r="6" spans="1:6">
      <c r="A6" s="5"/>
      <c r="B6" s="7" t="s">
        <v>4</v>
      </c>
      <c r="C6" s="13" t="s">
        <v>39</v>
      </c>
      <c r="D6" s="12">
        <f>839.9*12*14.66</f>
        <v>147755.20799999998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839.9*4.05*12</f>
        <v>40819.14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839.9*12*0.29</f>
        <v>2922.8519999999994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839.9*12*2.23</f>
        <v>22475.723999999998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839.9*12*1.85</f>
        <v>18645.78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839.9*12*2.28</f>
        <v>22979.663999999997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839.9*12*1.68</f>
        <v>16932.383999999998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839.9*12*2.05</f>
        <v>20661.539999999997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839.9*12*1.19</f>
        <v>11993.771999999999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839.9*12*2.66</f>
        <v>26809.608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839.9*12*0.06</f>
        <v>604.72799999999995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839.9*12*0.37</f>
        <v>3729.1559999999995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167755.20799999998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-20000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21</v>
      </c>
      <c r="C25" s="13" t="s">
        <v>39</v>
      </c>
      <c r="D25" s="12">
        <v>34200</v>
      </c>
    </row>
    <row r="26" spans="1:6">
      <c r="A26" s="5"/>
      <c r="B26" s="7" t="s">
        <v>29</v>
      </c>
      <c r="C26" s="13" t="s">
        <v>39</v>
      </c>
      <c r="D26" s="12">
        <v>15000</v>
      </c>
    </row>
    <row r="27" spans="1:6">
      <c r="A27" s="5"/>
      <c r="B27" s="6" t="s">
        <v>15</v>
      </c>
      <c r="C27" s="13" t="s">
        <v>39</v>
      </c>
      <c r="D27" s="11">
        <f>D7-D25-D26</f>
        <v>-8380.86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theme="0"/>
  </sheetPr>
  <dimension ref="A1:F27"/>
  <sheetViews>
    <sheetView topLeftCell="A14" workbookViewId="0">
      <selection activeCell="I35" sqref="I35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188147.75999999998</v>
      </c>
    </row>
    <row r="6" spans="1:6">
      <c r="A6" s="5"/>
      <c r="B6" s="7" t="s">
        <v>4</v>
      </c>
      <c r="C6" s="13" t="s">
        <v>39</v>
      </c>
      <c r="D6" s="12">
        <f>838*12*14.66</f>
        <v>147420.96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838*4.05*12</f>
        <v>40726.799999999996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838*12*0.29</f>
        <v>2916.24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838*12*2.23</f>
        <v>22424.880000000001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838*12*1.85</f>
        <v>18603.600000000002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838*12*2.28</f>
        <v>22927.679999999997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838*12*1.68</f>
        <v>16894.079999999998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838*12*2.05</f>
        <v>20614.8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838*12*1.19</f>
        <v>11966.64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838*12*2.66</f>
        <v>26748.960000000003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838*12*0.06</f>
        <v>603.36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838*12*0.37</f>
        <v>3720.72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167420.96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-20000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21</v>
      </c>
      <c r="C25" s="13" t="s">
        <v>39</v>
      </c>
      <c r="D25" s="12">
        <v>34200</v>
      </c>
    </row>
    <row r="26" spans="1:6">
      <c r="A26" s="5"/>
      <c r="B26" s="7" t="s">
        <v>29</v>
      </c>
      <c r="C26" s="13" t="s">
        <v>39</v>
      </c>
      <c r="D26" s="12">
        <v>15000</v>
      </c>
    </row>
    <row r="27" spans="1:6">
      <c r="A27" s="5"/>
      <c r="B27" s="6" t="s">
        <v>15</v>
      </c>
      <c r="C27" s="13" t="s">
        <v>39</v>
      </c>
      <c r="D27" s="11">
        <f>D7-D25-D26</f>
        <v>-8473.2000000000044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theme="0"/>
  </sheetPr>
  <dimension ref="A1:F29"/>
  <sheetViews>
    <sheetView topLeftCell="A19" workbookViewId="0">
      <selection activeCell="I35" sqref="I35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212395.92</v>
      </c>
    </row>
    <row r="6" spans="1:6">
      <c r="A6" s="5"/>
      <c r="B6" s="7" t="s">
        <v>4</v>
      </c>
      <c r="C6" s="13" t="s">
        <v>39</v>
      </c>
      <c r="D6" s="12">
        <f>946*12*14.66</f>
        <v>166420.32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946*4.05*12</f>
        <v>45975.6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946*12*0.29</f>
        <v>3292.08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946*12*2.23</f>
        <v>25314.959999999999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946*12*1.85</f>
        <v>21001.200000000001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946*12*2.28</f>
        <v>25882.559999999998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946*12*1.68</f>
        <v>19071.36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946*12*2.05</f>
        <v>23271.599999999999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946*12*1.19</f>
        <v>13508.88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946*12*2.66</f>
        <v>30196.320000000003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946*12*0.06</f>
        <v>681.12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946*12*0.37</f>
        <v>4200.24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186420.32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-20000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21</v>
      </c>
      <c r="C25" s="13" t="s">
        <v>39</v>
      </c>
      <c r="D25" s="12">
        <v>34200</v>
      </c>
    </row>
    <row r="26" spans="1:6">
      <c r="A26" s="5"/>
      <c r="B26" s="7" t="s">
        <v>22</v>
      </c>
      <c r="C26" s="13" t="s">
        <v>39</v>
      </c>
      <c r="D26" s="12">
        <v>500</v>
      </c>
    </row>
    <row r="27" spans="1:6">
      <c r="A27" s="5"/>
      <c r="B27" s="7" t="s">
        <v>29</v>
      </c>
      <c r="C27" s="13" t="s">
        <v>39</v>
      </c>
      <c r="D27" s="12">
        <v>15000</v>
      </c>
    </row>
    <row r="28" spans="1:6">
      <c r="A28" s="5"/>
      <c r="B28" s="7" t="s">
        <v>33</v>
      </c>
      <c r="C28" s="13" t="s">
        <v>39</v>
      </c>
      <c r="D28" s="12">
        <v>1200</v>
      </c>
    </row>
    <row r="29" spans="1:6">
      <c r="A29" s="5"/>
      <c r="B29" s="6" t="s">
        <v>15</v>
      </c>
      <c r="C29" s="13" t="s">
        <v>39</v>
      </c>
      <c r="D29" s="11">
        <f>D7-D25-D27-D28-D26</f>
        <v>-4924.4000000000015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theme="0"/>
  </sheetPr>
  <dimension ref="A1:F27"/>
  <sheetViews>
    <sheetView topLeftCell="A9" workbookViewId="0">
      <selection activeCell="A27" sqref="A27:XFD41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181277.44799999997</v>
      </c>
    </row>
    <row r="6" spans="1:6">
      <c r="A6" s="5"/>
      <c r="B6" s="7" t="s">
        <v>4</v>
      </c>
      <c r="C6" s="13" t="s">
        <v>39</v>
      </c>
      <c r="D6" s="12">
        <f>807.4*12*14.66</f>
        <v>142037.80799999999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807.4*4.05*12</f>
        <v>39239.64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807.4*12*0.29</f>
        <v>2809.7519999999995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807.4*12*2.23</f>
        <v>21606.023999999998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807.4*12*1.85</f>
        <v>17924.28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807.4*12*2.28</f>
        <v>22090.463999999996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807.4*12*1.68</f>
        <v>16277.183999999997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807.4*12*2.05</f>
        <v>19862.039999999997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807.4*12*1.19</f>
        <v>11529.671999999999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807.4*12*2.66</f>
        <v>25772.207999999999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807.4*12*0.06</f>
        <v>581.32799999999997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807.4*12*0.37</f>
        <v>3584.8559999999998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162037.80799999999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-20000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21</v>
      </c>
      <c r="C25" s="13" t="s">
        <v>39</v>
      </c>
      <c r="D25" s="22">
        <v>34200</v>
      </c>
    </row>
    <row r="26" spans="1:6">
      <c r="A26" s="5"/>
      <c r="B26" s="7" t="s">
        <v>29</v>
      </c>
      <c r="C26" s="13" t="s">
        <v>39</v>
      </c>
      <c r="D26" s="12">
        <v>15000</v>
      </c>
    </row>
    <row r="27" spans="1:6">
      <c r="A27" s="5"/>
      <c r="B27" s="6" t="s">
        <v>15</v>
      </c>
      <c r="C27" s="13" t="s">
        <v>39</v>
      </c>
      <c r="D27" s="11">
        <f>D7-D25-D26</f>
        <v>-9960.36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F29"/>
  <sheetViews>
    <sheetView topLeftCell="A15" workbookViewId="0">
      <selection activeCell="J41" sqref="J41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175350.12</v>
      </c>
    </row>
    <row r="6" spans="1:6">
      <c r="A6" s="5"/>
      <c r="B6" s="7" t="s">
        <v>4</v>
      </c>
      <c r="C6" s="13" t="s">
        <v>39</v>
      </c>
      <c r="D6" s="12">
        <f>781*12*14.66</f>
        <v>137393.51999999999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781*4.05*12</f>
        <v>37956.6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781*12*0.29</f>
        <v>2717.8799999999997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781*12*2.23</f>
        <v>20899.560000000001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781*12*1.85</f>
        <v>17338.2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781*12*2.28</f>
        <v>21368.16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781*12*1.68</f>
        <v>15744.96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781*12*2.05</f>
        <v>19212.599999999999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781*12*1.19</f>
        <v>11152.68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781*12*2.66</f>
        <v>24929.52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781*12*0.06</f>
        <v>562.31999999999994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781*12*0.37</f>
        <v>3467.64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157393.52000000002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-20000.000000000029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21</v>
      </c>
      <c r="C25" s="13" t="s">
        <v>39</v>
      </c>
      <c r="D25" s="12">
        <v>26000</v>
      </c>
    </row>
    <row r="26" spans="1:6">
      <c r="A26" s="5"/>
      <c r="B26" s="7" t="s">
        <v>26</v>
      </c>
      <c r="C26" s="13" t="s">
        <v>39</v>
      </c>
      <c r="D26" s="12">
        <v>5000</v>
      </c>
    </row>
    <row r="27" spans="1:6">
      <c r="A27" s="5"/>
      <c r="B27" s="7" t="s">
        <v>29</v>
      </c>
      <c r="C27" s="13" t="s">
        <v>39</v>
      </c>
      <c r="D27" s="12">
        <v>15000</v>
      </c>
    </row>
    <row r="28" spans="1:6">
      <c r="A28" s="5"/>
      <c r="B28" s="7" t="s">
        <v>31</v>
      </c>
      <c r="C28" s="13" t="s">
        <v>39</v>
      </c>
      <c r="D28" s="12">
        <v>5000</v>
      </c>
    </row>
    <row r="29" spans="1:6">
      <c r="A29" s="5"/>
      <c r="B29" s="6" t="s">
        <v>15</v>
      </c>
      <c r="C29" s="13" t="s">
        <v>39</v>
      </c>
      <c r="D29" s="11">
        <f>D7-D25-D26-D28-D27</f>
        <v>-13043.400000000001</v>
      </c>
    </row>
  </sheetData>
  <mergeCells count="3">
    <mergeCell ref="B23:D23"/>
    <mergeCell ref="A2:D2"/>
    <mergeCell ref="B9:D9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sheetPr>
    <tabColor theme="0"/>
  </sheetPr>
  <dimension ref="A1:F28"/>
  <sheetViews>
    <sheetView topLeftCell="A21" workbookViewId="0">
      <selection activeCell="A29" sqref="A25:XFD29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183702.26400000002</v>
      </c>
    </row>
    <row r="6" spans="1:6">
      <c r="A6" s="5"/>
      <c r="B6" s="7" t="s">
        <v>4</v>
      </c>
      <c r="C6" s="13" t="s">
        <v>39</v>
      </c>
      <c r="D6" s="12">
        <f>818.2*12*14.66</f>
        <v>143937.74400000004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818.2*4.05*12</f>
        <v>39764.520000000004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818.2*12*0.29</f>
        <v>2847.3360000000002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818.2*12*2.23</f>
        <v>21895.032000000003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818.2*12*1.85</f>
        <v>18164.040000000005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818.2*12*2.28</f>
        <v>22385.952000000001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818.2*12*1.68</f>
        <v>16494.912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818.2*12*2.05</f>
        <v>20127.72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818.2*12*1.19</f>
        <v>11683.896000000001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818.2*12*2.66</f>
        <v>26116.944000000007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818.2*12*0.06</f>
        <v>589.10400000000004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818.2*12*0.37</f>
        <v>3632.8080000000004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163937.74400000004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-20000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21</v>
      </c>
      <c r="C25" s="13" t="s">
        <v>39</v>
      </c>
      <c r="D25" s="22">
        <v>34200</v>
      </c>
    </row>
    <row r="26" spans="1:6">
      <c r="A26" s="5"/>
      <c r="B26" s="7" t="s">
        <v>23</v>
      </c>
      <c r="C26" s="13" t="s">
        <v>39</v>
      </c>
      <c r="D26" s="12">
        <v>250</v>
      </c>
    </row>
    <row r="27" spans="1:6">
      <c r="A27" s="5"/>
      <c r="B27" s="7" t="s">
        <v>29</v>
      </c>
      <c r="C27" s="13" t="s">
        <v>39</v>
      </c>
      <c r="D27" s="12">
        <v>15000</v>
      </c>
    </row>
    <row r="28" spans="1:6">
      <c r="A28" s="5"/>
      <c r="B28" s="6" t="s">
        <v>15</v>
      </c>
      <c r="C28" s="13" t="s">
        <v>39</v>
      </c>
      <c r="D28" s="11">
        <f>D7-D25-D27-D26</f>
        <v>-9685.4799999999959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sheetPr>
    <tabColor theme="0"/>
  </sheetPr>
  <dimension ref="A1:F27"/>
  <sheetViews>
    <sheetView topLeftCell="A14" workbookViewId="0">
      <selection activeCell="H33" sqref="H33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186553.66799999998</v>
      </c>
    </row>
    <row r="6" spans="1:6">
      <c r="A6" s="5"/>
      <c r="B6" s="7" t="s">
        <v>4</v>
      </c>
      <c r="C6" s="13" t="s">
        <v>39</v>
      </c>
      <c r="D6" s="12">
        <f>830.9*12*14.66</f>
        <v>146171.92799999999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830.9*4.05*12</f>
        <v>40381.74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830.9*12*0.29</f>
        <v>2891.5319999999997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830.9*12*2.23</f>
        <v>22234.883999999998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830.9*12*1.85</f>
        <v>18445.98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830.9*12*2.28</f>
        <v>22733.423999999995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830.9*12*1.68</f>
        <v>16750.944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830.9*12*2.05</f>
        <v>20440.139999999996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830.9*12*1.19</f>
        <v>11865.251999999999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830.9*12*2.66</f>
        <v>26522.327999999998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830.9*12*0.06</f>
        <v>598.24799999999993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830.9*12*0.37</f>
        <v>3689.1959999999999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166171.92799999999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-20000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21</v>
      </c>
      <c r="C25" s="13" t="s">
        <v>39</v>
      </c>
      <c r="D25" s="12">
        <v>34200</v>
      </c>
    </row>
    <row r="26" spans="1:6">
      <c r="A26" s="5"/>
      <c r="B26" s="7" t="s">
        <v>29</v>
      </c>
      <c r="C26" s="13" t="s">
        <v>39</v>
      </c>
      <c r="D26" s="12">
        <v>15000</v>
      </c>
    </row>
    <row r="27" spans="1:6">
      <c r="A27" s="5"/>
      <c r="B27" s="6" t="s">
        <v>15</v>
      </c>
      <c r="C27" s="13" t="s">
        <v>39</v>
      </c>
      <c r="D27" s="11">
        <f>D7-D25-D26</f>
        <v>-8818.260000000002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theme="0"/>
  </sheetPr>
  <dimension ref="A1:F28"/>
  <sheetViews>
    <sheetView topLeftCell="A14" workbookViewId="0">
      <selection activeCell="J36" sqref="J3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92928.82799999998</v>
      </c>
    </row>
    <row r="6" spans="1:6">
      <c r="A6" s="5"/>
      <c r="B6" s="7" t="s">
        <v>4</v>
      </c>
      <c r="C6" s="13" t="s">
        <v>39</v>
      </c>
      <c r="D6" s="12">
        <f>413.9*12*14.66</f>
        <v>72813.287999999986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413.9*4.05*12</f>
        <v>20115.539999999997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413.9*12*0.29</f>
        <v>1440.3719999999996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413.9*12*2.23</f>
        <v>11075.963999999998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413.9*12*1.85</f>
        <v>9188.58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413.9*12*2.28</f>
        <v>11324.303999999998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413.9*12*1.68</f>
        <v>8344.2239999999983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413.9*12*2.05</f>
        <v>10181.939999999997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413.9*12*1.19</f>
        <v>5910.4919999999993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413.9*12*2.66</f>
        <v>13211.687999999998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413.9*12*0.06</f>
        <v>298.00799999999992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413.9*12*0.37</f>
        <v>1837.7159999999997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92813.288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-20000.000000000015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21</v>
      </c>
      <c r="C25" s="13" t="s">
        <v>39</v>
      </c>
      <c r="D25" s="12">
        <v>17100</v>
      </c>
    </row>
    <row r="26" spans="1:6">
      <c r="A26" s="5"/>
      <c r="B26" s="7" t="s">
        <v>27</v>
      </c>
      <c r="C26" s="13" t="s">
        <v>39</v>
      </c>
      <c r="D26" s="12">
        <v>15000</v>
      </c>
    </row>
    <row r="27" spans="1:6">
      <c r="A27" s="5"/>
      <c r="B27" s="7" t="s">
        <v>29</v>
      </c>
      <c r="C27" s="13" t="s">
        <v>39</v>
      </c>
      <c r="D27" s="12">
        <v>10000</v>
      </c>
    </row>
    <row r="28" spans="1:6">
      <c r="A28" s="5"/>
      <c r="B28" s="6" t="s">
        <v>15</v>
      </c>
      <c r="C28" s="13" t="s">
        <v>39</v>
      </c>
      <c r="D28" s="11">
        <f>D7-D25-D26-D27</f>
        <v>-21984.460000000003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sheetPr>
    <tabColor theme="0"/>
  </sheetPr>
  <dimension ref="A1:F24"/>
  <sheetViews>
    <sheetView topLeftCell="A6" workbookViewId="0">
      <selection activeCell="H29" sqref="H29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266365.8</v>
      </c>
    </row>
    <row r="6" spans="1:6">
      <c r="A6" s="5"/>
      <c r="B6" s="7" t="s">
        <v>4</v>
      </c>
      <c r="C6" s="13" t="s">
        <v>39</v>
      </c>
      <c r="D6" s="12">
        <f>829.8*12*20.67</f>
        <v>205823.59199999998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829.8*6.08*12</f>
        <v>60542.207999999999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8" t="s">
        <v>8</v>
      </c>
      <c r="C10" s="13" t="s">
        <v>39</v>
      </c>
      <c r="D10" s="21">
        <f>829.8*12*2.38</f>
        <v>23699.087999999996</v>
      </c>
      <c r="F10" s="19">
        <v>12.62</v>
      </c>
    </row>
    <row r="11" spans="1:6">
      <c r="A11" s="5"/>
      <c r="B11" s="8" t="s">
        <v>40</v>
      </c>
      <c r="C11" s="13" t="s">
        <v>39</v>
      </c>
      <c r="D11" s="21">
        <v>20000</v>
      </c>
      <c r="F11" s="19"/>
    </row>
    <row r="12" spans="1:6">
      <c r="A12" s="5"/>
      <c r="B12" s="8" t="s">
        <v>9</v>
      </c>
      <c r="C12" s="13" t="s">
        <v>39</v>
      </c>
      <c r="D12" s="21">
        <f>829.8*12*4.82</f>
        <v>47995.631999999998</v>
      </c>
      <c r="F12" s="19">
        <v>15.55</v>
      </c>
    </row>
    <row r="13" spans="1:6">
      <c r="A13" s="5"/>
      <c r="B13" s="8" t="s">
        <v>10</v>
      </c>
      <c r="C13" s="13" t="s">
        <v>39</v>
      </c>
      <c r="D13" s="21">
        <f>829.8*12*2.29</f>
        <v>22802.903999999999</v>
      </c>
      <c r="F13" s="19">
        <v>11.46</v>
      </c>
    </row>
    <row r="14" spans="1:6">
      <c r="A14" s="5"/>
      <c r="B14" s="8" t="s">
        <v>11</v>
      </c>
      <c r="C14" s="13" t="s">
        <v>39</v>
      </c>
      <c r="D14" s="21">
        <f>829.8*12*3.4</f>
        <v>33855.839999999997</v>
      </c>
      <c r="F14" s="19">
        <v>13.98</v>
      </c>
    </row>
    <row r="15" spans="1:6">
      <c r="A15" s="5"/>
      <c r="B15" s="8" t="s">
        <v>12</v>
      </c>
      <c r="C15" s="13" t="s">
        <v>39</v>
      </c>
      <c r="D15" s="21">
        <f>829.8*12*2.61</f>
        <v>25989.335999999996</v>
      </c>
      <c r="F15" s="19">
        <v>8.1199999999999992</v>
      </c>
    </row>
    <row r="16" spans="1:6">
      <c r="A16" s="5"/>
      <c r="B16" s="8" t="s">
        <v>13</v>
      </c>
      <c r="C16" s="13" t="s">
        <v>39</v>
      </c>
      <c r="D16" s="21">
        <f>829.8*12*4.64</f>
        <v>46203.263999999988</v>
      </c>
      <c r="F16" s="19">
        <v>18.14</v>
      </c>
    </row>
    <row r="17" spans="1:6">
      <c r="A17" s="5"/>
      <c r="B17" s="8" t="s">
        <v>36</v>
      </c>
      <c r="C17" s="13" t="s">
        <v>39</v>
      </c>
      <c r="D17" s="21">
        <f>829.8*12*0.1</f>
        <v>995.75999999999988</v>
      </c>
      <c r="E17" s="16"/>
      <c r="F17" s="19">
        <v>0.41</v>
      </c>
    </row>
    <row r="18" spans="1:6">
      <c r="A18" s="5"/>
      <c r="B18" s="8" t="s">
        <v>38</v>
      </c>
      <c r="C18" s="13" t="s">
        <v>39</v>
      </c>
      <c r="D18" s="21">
        <f>829.8*12*0.43</f>
        <v>4281.7679999999991</v>
      </c>
      <c r="F18" s="19">
        <v>2.52</v>
      </c>
    </row>
    <row r="19" spans="1:6">
      <c r="A19" s="5"/>
      <c r="B19" s="9" t="s">
        <v>14</v>
      </c>
      <c r="C19" s="13" t="s">
        <v>39</v>
      </c>
      <c r="D19" s="11">
        <f>D18+D17+D16+D15+D14+D13+D12+D11+D10</f>
        <v>225823.59199999995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39</v>
      </c>
      <c r="D20" s="11">
        <f>D6-D19</f>
        <v>-19999.999999999971</v>
      </c>
    </row>
    <row r="21" spans="1:6">
      <c r="A21" s="5"/>
      <c r="B21" s="24" t="s">
        <v>16</v>
      </c>
      <c r="C21" s="25"/>
      <c r="D21" s="26"/>
    </row>
    <row r="22" spans="1:6">
      <c r="A22" s="5"/>
      <c r="B22" s="6" t="s">
        <v>17</v>
      </c>
      <c r="C22" s="13" t="s">
        <v>39</v>
      </c>
      <c r="D22" s="11"/>
    </row>
    <row r="23" spans="1:6">
      <c r="A23" s="5"/>
      <c r="B23" s="7" t="s">
        <v>29</v>
      </c>
      <c r="C23" s="13" t="s">
        <v>39</v>
      </c>
      <c r="D23" s="12">
        <v>15000</v>
      </c>
    </row>
    <row r="24" spans="1:6">
      <c r="A24" s="5"/>
      <c r="B24" s="6" t="s">
        <v>15</v>
      </c>
      <c r="C24" s="13" t="s">
        <v>39</v>
      </c>
      <c r="D24" s="11">
        <f>D7-D23</f>
        <v>45542.207999999999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sheetPr>
    <tabColor theme="0"/>
  </sheetPr>
  <dimension ref="A1:F26"/>
  <sheetViews>
    <sheetView topLeftCell="A8" workbookViewId="0">
      <selection activeCell="A75" sqref="A25:XFD75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92928.82799999998</v>
      </c>
    </row>
    <row r="6" spans="1:6">
      <c r="A6" s="5"/>
      <c r="B6" s="7" t="s">
        <v>4</v>
      </c>
      <c r="C6" s="13" t="s">
        <v>39</v>
      </c>
      <c r="D6" s="12">
        <f>413.9*12*14.66</f>
        <v>72813.287999999986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413.9*4.05*12</f>
        <v>20115.539999999997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413.9*12*0.29</f>
        <v>1440.3719999999996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413.9*12*2.23</f>
        <v>11075.963999999998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413.9*12*1.85</f>
        <v>9188.58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413.9*12*2.28</f>
        <v>11324.303999999998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413.9*12*1.68</f>
        <v>8344.2239999999983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413.9*12*2.05</f>
        <v>10181.939999999997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413.9*12*1.19</f>
        <v>5910.4919999999993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413.9*12*2.66</f>
        <v>13211.687999999998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413.9*12*0.06</f>
        <v>298.00799999999992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413.9*12*0.37</f>
        <v>1837.7159999999997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92813.288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-20000.000000000015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29</v>
      </c>
      <c r="C25" s="13" t="s">
        <v>39</v>
      </c>
      <c r="D25" s="12">
        <v>10000</v>
      </c>
    </row>
    <row r="26" spans="1:6">
      <c r="A26" s="5"/>
      <c r="B26" s="6" t="s">
        <v>15</v>
      </c>
      <c r="C26" s="13" t="s">
        <v>39</v>
      </c>
      <c r="D26" s="11">
        <f>D7-D25</f>
        <v>10115.539999999997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sheetPr>
    <tabColor theme="0"/>
  </sheetPr>
  <dimension ref="A1:F28"/>
  <sheetViews>
    <sheetView topLeftCell="A19" workbookViewId="0">
      <selection activeCell="A29" sqref="A25:XFD29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188821.32</v>
      </c>
    </row>
    <row r="6" spans="1:6">
      <c r="A6" s="5"/>
      <c r="B6" s="7" t="s">
        <v>4</v>
      </c>
      <c r="C6" s="13" t="s">
        <v>39</v>
      </c>
      <c r="D6" s="12">
        <f>841*12*14.66</f>
        <v>147948.72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841*4.05*12</f>
        <v>40872.6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841*12*0.29</f>
        <v>2926.68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841*12*2.23</f>
        <v>22505.16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841*12*1.85</f>
        <v>18670.2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841*12*2.28</f>
        <v>23009.759999999998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841*12*1.68</f>
        <v>16954.559999999998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841*12*2.05</f>
        <v>20688.599999999999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841*12*1.19</f>
        <v>12009.48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841*12*2.66</f>
        <v>26844.720000000001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841*12*0.06</f>
        <v>605.52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841*12*0.37</f>
        <v>3734.04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167948.71999999997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-19999.999999999971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21</v>
      </c>
      <c r="C25" s="13" t="s">
        <v>39</v>
      </c>
      <c r="D25" s="12">
        <v>34200</v>
      </c>
    </row>
    <row r="26" spans="1:6">
      <c r="A26" s="5"/>
      <c r="B26" s="7" t="s">
        <v>22</v>
      </c>
      <c r="C26" s="13" t="s">
        <v>39</v>
      </c>
      <c r="D26" s="12">
        <v>500</v>
      </c>
    </row>
    <row r="27" spans="1:6">
      <c r="A27" s="5"/>
      <c r="B27" s="7" t="s">
        <v>29</v>
      </c>
      <c r="C27" s="13" t="s">
        <v>39</v>
      </c>
      <c r="D27" s="12">
        <v>15000</v>
      </c>
    </row>
    <row r="28" spans="1:6">
      <c r="A28" s="5"/>
      <c r="B28" s="6" t="s">
        <v>15</v>
      </c>
      <c r="C28" s="13" t="s">
        <v>39</v>
      </c>
      <c r="D28" s="11">
        <f>D7-D25-D27-D26</f>
        <v>-8827.4000000000015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theme="0"/>
  </sheetPr>
  <dimension ref="A1:F28"/>
  <sheetViews>
    <sheetView topLeftCell="A14" workbookViewId="0">
      <selection activeCell="A29" sqref="A25:XFD29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184600.34400000004</v>
      </c>
    </row>
    <row r="6" spans="1:6">
      <c r="A6" s="5"/>
      <c r="B6" s="7" t="s">
        <v>4</v>
      </c>
      <c r="C6" s="13" t="s">
        <v>39</v>
      </c>
      <c r="D6" s="12">
        <f>822.2*12*14.66</f>
        <v>144641.42400000003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822.2*4.05*12</f>
        <v>39958.92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822.2*12*0.29</f>
        <v>2861.2560000000003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822.2*12*2.23</f>
        <v>22002.072000000004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822.2*12*1.85</f>
        <v>18252.840000000004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822.2*12*2.28</f>
        <v>22495.392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822.2*12*1.68</f>
        <v>16575.552000000003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822.2*12*2.05</f>
        <v>20226.120000000003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822.2*12*1.19</f>
        <v>11741.016000000001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822.2*12*2.66</f>
        <v>26244.624000000007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822.2*12*0.06</f>
        <v>591.98400000000004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822.2*12*0.37</f>
        <v>3650.5680000000007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164641.42400000003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-20000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21</v>
      </c>
      <c r="C25" s="13" t="s">
        <v>39</v>
      </c>
      <c r="D25" s="12">
        <v>33400</v>
      </c>
    </row>
    <row r="26" spans="1:6">
      <c r="A26" s="5"/>
      <c r="B26" s="7" t="s">
        <v>29</v>
      </c>
      <c r="C26" s="13" t="s">
        <v>39</v>
      </c>
      <c r="D26" s="12">
        <v>15000</v>
      </c>
    </row>
    <row r="27" spans="1:6">
      <c r="A27" s="5"/>
      <c r="B27" s="7" t="s">
        <v>34</v>
      </c>
      <c r="C27" s="13" t="s">
        <v>39</v>
      </c>
      <c r="D27" s="12">
        <v>500</v>
      </c>
    </row>
    <row r="28" spans="1:6">
      <c r="A28" s="5"/>
      <c r="B28" s="6" t="s">
        <v>15</v>
      </c>
      <c r="C28" s="13" t="s">
        <v>39</v>
      </c>
      <c r="D28" s="11">
        <f>D7-D25-D26-D27</f>
        <v>-8941.0800000000017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sheetPr>
    <tabColor theme="0"/>
  </sheetPr>
  <dimension ref="A1:F28"/>
  <sheetViews>
    <sheetView topLeftCell="A10" workbookViewId="0">
      <selection activeCell="A28" sqref="A28:XFD42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188911.12799999997</v>
      </c>
    </row>
    <row r="6" spans="1:6">
      <c r="A6" s="5"/>
      <c r="B6" s="7" t="s">
        <v>4</v>
      </c>
      <c r="C6" s="13" t="s">
        <v>39</v>
      </c>
      <c r="D6" s="12">
        <f>841.4*12*14.66</f>
        <v>148019.08799999999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841.4*4.05*12</f>
        <v>40892.039999999994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841.4*12*0.29</f>
        <v>2928.0719999999997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841.4*12*2.23</f>
        <v>22515.863999999998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841.4*12*1.85</f>
        <v>18679.079999999998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841.4*12*2.28</f>
        <v>23020.703999999998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841.4*12*1.68</f>
        <v>16962.624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841.4*12*2.05</f>
        <v>20698.439999999995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841.4*12*1.19</f>
        <v>12015.191999999999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841.4*12*2.66</f>
        <v>26857.488000000001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841.4*12*0.06</f>
        <v>605.80799999999988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841.4*12*0.37</f>
        <v>3735.8159999999998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168019.08799999999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-20000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21</v>
      </c>
      <c r="C25" s="13" t="s">
        <v>39</v>
      </c>
      <c r="D25" s="12">
        <v>33400</v>
      </c>
    </row>
    <row r="26" spans="1:6">
      <c r="A26" s="5"/>
      <c r="B26" s="7" t="s">
        <v>22</v>
      </c>
      <c r="C26" s="13" t="s">
        <v>39</v>
      </c>
      <c r="D26" s="12">
        <v>800</v>
      </c>
    </row>
    <row r="27" spans="1:6">
      <c r="A27" s="5"/>
      <c r="B27" s="7" t="s">
        <v>29</v>
      </c>
      <c r="C27" s="13" t="s">
        <v>39</v>
      </c>
      <c r="D27" s="12">
        <v>15000</v>
      </c>
    </row>
    <row r="28" spans="1:6">
      <c r="A28" s="5"/>
      <c r="B28" s="6" t="s">
        <v>15</v>
      </c>
      <c r="C28" s="13" t="s">
        <v>39</v>
      </c>
      <c r="D28" s="11">
        <f>D7-D25-D27-D26</f>
        <v>-8307.9600000000064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sheetPr>
    <tabColor theme="0"/>
  </sheetPr>
  <dimension ref="A1:F27"/>
  <sheetViews>
    <sheetView topLeftCell="A9" workbookViewId="0">
      <selection activeCell="A27" sqref="A27:XFD41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191448.20400000003</v>
      </c>
    </row>
    <row r="6" spans="1:6">
      <c r="A6" s="5"/>
      <c r="B6" s="7" t="s">
        <v>4</v>
      </c>
      <c r="C6" s="13" t="s">
        <v>39</v>
      </c>
      <c r="D6" s="12">
        <f>852.7*12*14.66</f>
        <v>150006.98400000003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852.7*4.05*12</f>
        <v>41441.22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852.7*12*0.29</f>
        <v>2967.3960000000002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852.7*12*2.23</f>
        <v>22818.252000000004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852.7*12*1.85</f>
        <v>18929.940000000002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852.7*12*2.28</f>
        <v>23329.872000000003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852.7*12*1.68</f>
        <v>17190.432000000001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852.7*12*2.05</f>
        <v>20976.420000000002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852.7*12*1.19</f>
        <v>12176.556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852.7*12*2.66</f>
        <v>27218.184000000005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852.7*12*0.06</f>
        <v>613.94400000000007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852.7*12*0.37</f>
        <v>3785.9880000000003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170006.98400000003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-20000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21</v>
      </c>
      <c r="C25" s="13" t="s">
        <v>39</v>
      </c>
      <c r="D25" s="12">
        <v>33400</v>
      </c>
    </row>
    <row r="26" spans="1:6">
      <c r="A26" s="5"/>
      <c r="B26" s="7" t="s">
        <v>29</v>
      </c>
      <c r="C26" s="13" t="s">
        <v>39</v>
      </c>
      <c r="D26" s="12">
        <v>15000</v>
      </c>
    </row>
    <row r="27" spans="1:6">
      <c r="A27" s="5"/>
      <c r="B27" s="6" t="s">
        <v>15</v>
      </c>
      <c r="C27" s="13" t="s">
        <v>39</v>
      </c>
      <c r="D27" s="11">
        <f>D7-D25-D26</f>
        <v>-6958.7799999999988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sheetPr>
    <tabColor theme="0"/>
  </sheetPr>
  <dimension ref="A1:F27"/>
  <sheetViews>
    <sheetView topLeftCell="A14" workbookViewId="0">
      <selection activeCell="A25" sqref="A25:XFD29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184690.152</v>
      </c>
    </row>
    <row r="6" spans="1:6">
      <c r="A6" s="5"/>
      <c r="B6" s="7" t="s">
        <v>4</v>
      </c>
      <c r="C6" s="13" t="s">
        <v>39</v>
      </c>
      <c r="D6" s="12">
        <f>822.6*12*14.66</f>
        <v>144711.79200000002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822.6*4.05*12</f>
        <v>39978.36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822.6*12*0.29</f>
        <v>2862.6480000000001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822.6*12*2.23</f>
        <v>22012.776000000002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822.6*12*1.85</f>
        <v>18261.72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822.6*12*2.28</f>
        <v>22506.335999999999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822.6*12*1.68</f>
        <v>16583.616000000002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822.6*12*2.05</f>
        <v>20235.96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822.6*12*1.19</f>
        <v>11746.728000000001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822.6*12*2.66</f>
        <v>26257.392000000003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822.6*12*0.06</f>
        <v>592.27200000000005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822.6*12*0.37</f>
        <v>3652.3440000000001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164711.79200000002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-20000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21</v>
      </c>
      <c r="C25" s="13" t="s">
        <v>39</v>
      </c>
      <c r="D25" s="12">
        <v>33400</v>
      </c>
    </row>
    <row r="26" spans="1:6">
      <c r="A26" s="5"/>
      <c r="B26" s="7" t="s">
        <v>29</v>
      </c>
      <c r="C26" s="13" t="s">
        <v>39</v>
      </c>
      <c r="D26" s="12">
        <v>15000</v>
      </c>
    </row>
    <row r="27" spans="1:6">
      <c r="A27" s="5"/>
      <c r="B27" s="6" t="s">
        <v>15</v>
      </c>
      <c r="C27" s="13" t="s">
        <v>39</v>
      </c>
      <c r="D27" s="11">
        <f>D7-D25-D26</f>
        <v>-8421.64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F30"/>
  <sheetViews>
    <sheetView topLeftCell="A16" workbookViewId="0">
      <selection activeCell="A29" sqref="A25:XFD29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179885.42400000003</v>
      </c>
    </row>
    <row r="6" spans="1:6">
      <c r="A6" s="5"/>
      <c r="B6" s="7" t="s">
        <v>4</v>
      </c>
      <c r="C6" s="13" t="s">
        <v>39</v>
      </c>
      <c r="D6" s="12">
        <f>801.2*12*14.66</f>
        <v>140947.10400000002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801.2*4.05*12</f>
        <v>38938.32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801.2*12*0.29</f>
        <v>2788.1760000000004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801.2*12*2.23</f>
        <v>21440.112000000005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801.2*12*1.85</f>
        <v>17786.640000000003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801.2*12*2.28</f>
        <v>21920.832000000002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801.2*12*1.68</f>
        <v>16152.192000000003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801.2*12*2.05</f>
        <v>19709.52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801.2*12*1.19</f>
        <v>11441.136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801.2*12*2.66</f>
        <v>25574.304000000004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801.2*12*0.06</f>
        <v>576.86400000000003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801.2*12*0.37</f>
        <v>3557.3280000000004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160947.10400000002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-20000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21</v>
      </c>
      <c r="C25" s="13" t="s">
        <v>39</v>
      </c>
      <c r="D25" s="12">
        <v>26000</v>
      </c>
    </row>
    <row r="26" spans="1:6">
      <c r="A26" s="5"/>
      <c r="B26" s="7" t="s">
        <v>22</v>
      </c>
      <c r="C26" s="13" t="s">
        <v>39</v>
      </c>
      <c r="D26" s="12">
        <v>500</v>
      </c>
    </row>
    <row r="27" spans="1:6">
      <c r="A27" s="5"/>
      <c r="B27" s="7" t="s">
        <v>26</v>
      </c>
      <c r="C27" s="13" t="s">
        <v>39</v>
      </c>
      <c r="D27" s="12">
        <v>5000</v>
      </c>
    </row>
    <row r="28" spans="1:6">
      <c r="A28" s="5"/>
      <c r="B28" s="7" t="s">
        <v>29</v>
      </c>
      <c r="C28" s="13" t="s">
        <v>39</v>
      </c>
      <c r="D28" s="12">
        <v>15000</v>
      </c>
    </row>
    <row r="29" spans="1:6">
      <c r="A29" s="5"/>
      <c r="B29" s="7" t="s">
        <v>31</v>
      </c>
      <c r="C29" s="13" t="s">
        <v>39</v>
      </c>
      <c r="D29" s="12">
        <v>5000</v>
      </c>
    </row>
    <row r="30" spans="1:6">
      <c r="A30" s="5"/>
      <c r="B30" s="6" t="s">
        <v>15</v>
      </c>
      <c r="C30" s="13" t="s">
        <v>39</v>
      </c>
      <c r="D30" s="11">
        <f>D7-D25-D27-D29-D26-D28</f>
        <v>-12561.68</v>
      </c>
    </row>
  </sheetData>
  <mergeCells count="3">
    <mergeCell ref="A2:D2"/>
    <mergeCell ref="B9:D9"/>
    <mergeCell ref="B23:D23"/>
  </mergeCells>
  <dataValidations count="1">
    <dataValidation type="list" allowBlank="1" showInputMessage="1" showErrorMessage="1" sqref="B5:D5">
      <formula1>Адреса</formula1>
    </dataValidation>
  </dataValidation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>
  <sheetPr>
    <tabColor theme="0"/>
  </sheetPr>
  <dimension ref="A1:F27"/>
  <sheetViews>
    <sheetView topLeftCell="A14" workbookViewId="0">
      <selection activeCell="H39" sqref="H39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185925.01200000002</v>
      </c>
    </row>
    <row r="6" spans="1:6">
      <c r="A6" s="5"/>
      <c r="B6" s="7" t="s">
        <v>4</v>
      </c>
      <c r="C6" s="13" t="s">
        <v>39</v>
      </c>
      <c r="D6" s="12">
        <f>828.1*12*14.66</f>
        <v>145679.35200000001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828.1*4.05*12</f>
        <v>40245.659999999996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828.1*12*0.29</f>
        <v>2881.788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828.1*12*2.23</f>
        <v>22159.956000000002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828.1*12*1.85</f>
        <v>18383.820000000003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828.1*12*2.28</f>
        <v>22656.815999999999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828.1*12*1.68</f>
        <v>16694.495999999999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828.1*12*2.05</f>
        <v>20371.259999999998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828.1*12*1.19</f>
        <v>11825.268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828.1*12*2.66</f>
        <v>26432.952000000005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828.1*12*0.06</f>
        <v>596.23199999999997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828.1*12*0.37</f>
        <v>3676.7640000000001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165679.35200000001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-20000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21</v>
      </c>
      <c r="C25" s="13" t="s">
        <v>39</v>
      </c>
      <c r="D25" s="12">
        <v>33400</v>
      </c>
    </row>
    <row r="26" spans="1:6">
      <c r="A26" s="5"/>
      <c r="B26" s="7" t="s">
        <v>29</v>
      </c>
      <c r="C26" s="13" t="s">
        <v>39</v>
      </c>
      <c r="D26" s="12">
        <v>15000</v>
      </c>
    </row>
    <row r="27" spans="1:6">
      <c r="A27" s="5"/>
      <c r="B27" s="6" t="s">
        <v>15</v>
      </c>
      <c r="C27" s="13" t="s">
        <v>39</v>
      </c>
      <c r="D27" s="11">
        <f>D7-D25-D26</f>
        <v>-8154.3400000000038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sheetPr>
    <tabColor theme="0"/>
  </sheetPr>
  <dimension ref="A1:F28"/>
  <sheetViews>
    <sheetView topLeftCell="A10" workbookViewId="0">
      <selection activeCell="I26" sqref="I26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185453.52000000002</v>
      </c>
    </row>
    <row r="6" spans="1:6">
      <c r="A6" s="5"/>
      <c r="B6" s="7" t="s">
        <v>4</v>
      </c>
      <c r="C6" s="13" t="s">
        <v>39</v>
      </c>
      <c r="D6" s="12">
        <f>826*12*14.66</f>
        <v>145309.92000000001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826*4.05*12</f>
        <v>40143.599999999999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826*12*0.29</f>
        <v>2874.48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826*12*2.23</f>
        <v>22103.759999999998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826*12*1.85</f>
        <v>18337.2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826*12*2.28</f>
        <v>22599.359999999997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826*12*1.68</f>
        <v>16652.16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826*12*2.05</f>
        <v>20319.599999999999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826*12*1.19</f>
        <v>11795.279999999999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826*12*2.66</f>
        <v>26365.920000000002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826*12*0.06</f>
        <v>594.72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826*12*0.37</f>
        <v>3667.44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165309.92000000001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-20000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21</v>
      </c>
      <c r="C25" s="13" t="s">
        <v>39</v>
      </c>
      <c r="D25" s="12">
        <v>34200</v>
      </c>
    </row>
    <row r="26" spans="1:6">
      <c r="A26" s="5"/>
      <c r="B26" s="7" t="s">
        <v>22</v>
      </c>
      <c r="C26" s="13" t="s">
        <v>39</v>
      </c>
      <c r="D26" s="12">
        <v>800</v>
      </c>
    </row>
    <row r="27" spans="1:6">
      <c r="A27" s="5"/>
      <c r="B27" s="7" t="s">
        <v>29</v>
      </c>
      <c r="C27" s="13" t="s">
        <v>39</v>
      </c>
      <c r="D27" s="12">
        <v>15000</v>
      </c>
    </row>
    <row r="28" spans="1:6">
      <c r="A28" s="5"/>
      <c r="B28" s="6" t="s">
        <v>15</v>
      </c>
      <c r="C28" s="13" t="s">
        <v>39</v>
      </c>
      <c r="D28" s="11">
        <f>D7-D25-D27-D26</f>
        <v>-9856.4000000000015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sheetPr>
    <tabColor theme="0"/>
  </sheetPr>
  <dimension ref="A1:F27"/>
  <sheetViews>
    <sheetView topLeftCell="A5" workbookViewId="0">
      <selection activeCell="A29" sqref="A25:XFD29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184196.20799999998</v>
      </c>
    </row>
    <row r="6" spans="1:6">
      <c r="A6" s="5"/>
      <c r="B6" s="7" t="s">
        <v>4</v>
      </c>
      <c r="C6" s="13" t="s">
        <v>39</v>
      </c>
      <c r="D6" s="12">
        <f>820.4*12*14.66</f>
        <v>144324.76799999998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820.4*4.05*12</f>
        <v>39871.440000000002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820.4*12*0.29</f>
        <v>2854.9919999999997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820.4*12*2.23</f>
        <v>21953.903999999999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820.4*12*1.85</f>
        <v>18212.88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820.4*12*2.28</f>
        <v>22446.143999999997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820.4*12*1.68</f>
        <v>16539.263999999999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820.4*12*2.05</f>
        <v>20181.839999999997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820.4*12*1.19</f>
        <v>11715.311999999998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820.4*12*2.66</f>
        <v>26187.167999999998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820.4*12*0.06</f>
        <v>590.68799999999999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820.4*12*0.37</f>
        <v>3642.5759999999996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164324.76799999998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-20000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21</v>
      </c>
      <c r="C25" s="13" t="s">
        <v>39</v>
      </c>
      <c r="D25" s="12">
        <v>34200</v>
      </c>
    </row>
    <row r="26" spans="1:6">
      <c r="A26" s="5"/>
      <c r="B26" s="7" t="s">
        <v>29</v>
      </c>
      <c r="C26" s="13" t="s">
        <v>39</v>
      </c>
      <c r="D26" s="12">
        <v>15000</v>
      </c>
    </row>
    <row r="27" spans="1:6">
      <c r="A27" s="5"/>
      <c r="B27" s="6" t="s">
        <v>15</v>
      </c>
      <c r="C27" s="13" t="s">
        <v>39</v>
      </c>
      <c r="D27" s="11">
        <f>D7-D25-D26</f>
        <v>-9328.5599999999977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sheetPr>
    <tabColor theme="0"/>
  </sheetPr>
  <dimension ref="A1:F27"/>
  <sheetViews>
    <sheetView topLeftCell="A14" workbookViewId="0">
      <selection activeCell="A29" sqref="A25:XFD29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185229</v>
      </c>
    </row>
    <row r="6" spans="1:6">
      <c r="A6" s="5"/>
      <c r="B6" s="7" t="s">
        <v>4</v>
      </c>
      <c r="C6" s="13" t="s">
        <v>39</v>
      </c>
      <c r="D6" s="12">
        <f>825*12*14.66</f>
        <v>145134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825*4.05*12</f>
        <v>40095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825*12*0.29</f>
        <v>2871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825*12*2.23</f>
        <v>22077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825*12*1.85</f>
        <v>18315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825*12*2.28</f>
        <v>22571.999999999996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825*12*1.68</f>
        <v>16632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825*12*2.05</f>
        <v>20295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825*12*1.19</f>
        <v>11781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825*12*2.66</f>
        <v>26334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825*12*0.06</f>
        <v>594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825*12*0.37</f>
        <v>3663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165134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-20000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21</v>
      </c>
      <c r="C25" s="13" t="s">
        <v>39</v>
      </c>
      <c r="D25" s="12">
        <v>34200</v>
      </c>
    </row>
    <row r="26" spans="1:6">
      <c r="A26" s="5"/>
      <c r="B26" s="7" t="s">
        <v>29</v>
      </c>
      <c r="C26" s="13" t="s">
        <v>39</v>
      </c>
      <c r="D26" s="12">
        <v>15000</v>
      </c>
    </row>
    <row r="27" spans="1:6">
      <c r="A27" s="5"/>
      <c r="B27" s="6" t="s">
        <v>15</v>
      </c>
      <c r="C27" s="13" t="s">
        <v>39</v>
      </c>
      <c r="D27" s="11">
        <f>D7-D25-D26</f>
        <v>-9105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sheetPr>
    <tabColor theme="0"/>
  </sheetPr>
  <dimension ref="A1:F28"/>
  <sheetViews>
    <sheetView topLeftCell="A24" workbookViewId="0">
      <selection activeCell="A28" sqref="A28:XFD42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93220.703999999998</v>
      </c>
    </row>
    <row r="6" spans="1:6">
      <c r="A6" s="5"/>
      <c r="B6" s="7" t="s">
        <v>4</v>
      </c>
      <c r="C6" s="13" t="s">
        <v>39</v>
      </c>
      <c r="D6" s="12">
        <f>415.2*12*14.66</f>
        <v>73041.983999999997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415.2*4.05*12</f>
        <v>20178.72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415.2*12*0.29</f>
        <v>1444.8959999999997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415.2*12*2.23</f>
        <v>11110.751999999999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415.2*12*1.85</f>
        <v>9217.44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415.2*12*2.28</f>
        <v>11359.871999999998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415.2*12*1.68</f>
        <v>8370.4319999999989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415.2*12*2.05</f>
        <v>10213.919999999998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415.2*12*1.19</f>
        <v>5929.0559999999996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415.2*12*2.66</f>
        <v>13253.183999999999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415.2*12*0.06</f>
        <v>298.94399999999996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415.2*12*0.37</f>
        <v>1843.4879999999998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93041.983999999982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-19999.999999999985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21</v>
      </c>
      <c r="C25" s="13" t="s">
        <v>39</v>
      </c>
      <c r="D25" s="12">
        <v>16700</v>
      </c>
    </row>
    <row r="26" spans="1:6">
      <c r="A26" s="5"/>
      <c r="B26" s="7" t="s">
        <v>27</v>
      </c>
      <c r="C26" s="13" t="s">
        <v>39</v>
      </c>
      <c r="D26" s="12">
        <v>10000</v>
      </c>
    </row>
    <row r="27" spans="1:6">
      <c r="A27" s="5"/>
      <c r="B27" s="7" t="s">
        <v>29</v>
      </c>
      <c r="C27" s="13" t="s">
        <v>39</v>
      </c>
      <c r="D27" s="12">
        <v>15000</v>
      </c>
    </row>
    <row r="28" spans="1:6">
      <c r="A28" s="5"/>
      <c r="B28" s="6" t="s">
        <v>15</v>
      </c>
      <c r="C28" s="13" t="s">
        <v>39</v>
      </c>
      <c r="D28" s="11">
        <f>D7-D25-D26-D27</f>
        <v>-21521.279999999999</v>
      </c>
    </row>
  </sheetData>
  <mergeCells count="3">
    <mergeCell ref="A2:D2"/>
    <mergeCell ref="B9:D9"/>
    <mergeCell ref="B23:D23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sheetPr>
    <tabColor theme="0"/>
  </sheetPr>
  <dimension ref="A1:F24"/>
  <sheetViews>
    <sheetView topLeftCell="A6" workbookViewId="0">
      <selection activeCell="A74" sqref="A23:XFD74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275225.40000000002</v>
      </c>
    </row>
    <row r="6" spans="1:6">
      <c r="A6" s="5"/>
      <c r="B6" s="7" t="s">
        <v>4</v>
      </c>
      <c r="C6" s="13" t="s">
        <v>39</v>
      </c>
      <c r="D6" s="12">
        <f>857.4*12*20.67</f>
        <v>212669.49600000001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857.4*6.08*12</f>
        <v>62555.904000000002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8" t="s">
        <v>8</v>
      </c>
      <c r="C10" s="13" t="s">
        <v>39</v>
      </c>
      <c r="D10" s="21">
        <f>857.4*12*2.38</f>
        <v>24487.343999999997</v>
      </c>
      <c r="F10" s="19">
        <v>12.62</v>
      </c>
    </row>
    <row r="11" spans="1:6">
      <c r="A11" s="5"/>
      <c r="B11" s="8" t="s">
        <v>40</v>
      </c>
      <c r="C11" s="13" t="s">
        <v>39</v>
      </c>
      <c r="D11" s="21">
        <v>20000</v>
      </c>
      <c r="F11" s="19"/>
    </row>
    <row r="12" spans="1:6">
      <c r="A12" s="5"/>
      <c r="B12" s="8" t="s">
        <v>9</v>
      </c>
      <c r="C12" s="13" t="s">
        <v>39</v>
      </c>
      <c r="D12" s="21">
        <f>857.4*12*4.82</f>
        <v>49592.015999999996</v>
      </c>
      <c r="F12" s="19">
        <v>15.55</v>
      </c>
    </row>
    <row r="13" spans="1:6">
      <c r="A13" s="5"/>
      <c r="B13" s="8" t="s">
        <v>10</v>
      </c>
      <c r="C13" s="13" t="s">
        <v>39</v>
      </c>
      <c r="D13" s="21">
        <f>857.4*12*2.29</f>
        <v>23561.351999999999</v>
      </c>
      <c r="F13" s="19">
        <v>11.46</v>
      </c>
    </row>
    <row r="14" spans="1:6">
      <c r="A14" s="5"/>
      <c r="B14" s="8" t="s">
        <v>11</v>
      </c>
      <c r="C14" s="13" t="s">
        <v>39</v>
      </c>
      <c r="D14" s="21">
        <f>857.4*12*3.4</f>
        <v>34981.919999999998</v>
      </c>
      <c r="F14" s="19">
        <v>13.98</v>
      </c>
    </row>
    <row r="15" spans="1:6">
      <c r="A15" s="5"/>
      <c r="B15" s="8" t="s">
        <v>12</v>
      </c>
      <c r="C15" s="13" t="s">
        <v>39</v>
      </c>
      <c r="D15" s="21">
        <f>857.4*12*2.61</f>
        <v>26853.767999999996</v>
      </c>
      <c r="F15" s="19">
        <v>8.1199999999999992</v>
      </c>
    </row>
    <row r="16" spans="1:6">
      <c r="A16" s="5"/>
      <c r="B16" s="8" t="s">
        <v>13</v>
      </c>
      <c r="C16" s="13" t="s">
        <v>39</v>
      </c>
      <c r="D16" s="21">
        <f>857.4*12*4.64</f>
        <v>47740.031999999992</v>
      </c>
      <c r="F16" s="19">
        <v>18.14</v>
      </c>
    </row>
    <row r="17" spans="1:6">
      <c r="A17" s="5"/>
      <c r="B17" s="8" t="s">
        <v>36</v>
      </c>
      <c r="C17" s="13" t="s">
        <v>39</v>
      </c>
      <c r="D17" s="21">
        <f>857.4*12*0.1</f>
        <v>1028.8799999999999</v>
      </c>
      <c r="E17" s="16"/>
      <c r="F17" s="19">
        <v>0.41</v>
      </c>
    </row>
    <row r="18" spans="1:6">
      <c r="A18" s="5"/>
      <c r="B18" s="8" t="s">
        <v>38</v>
      </c>
      <c r="C18" s="13" t="s">
        <v>39</v>
      </c>
      <c r="D18" s="21">
        <f>857.4*12*0.43</f>
        <v>4424.1839999999993</v>
      </c>
      <c r="F18" s="19">
        <v>2.52</v>
      </c>
    </row>
    <row r="19" spans="1:6">
      <c r="A19" s="5"/>
      <c r="B19" s="9" t="s">
        <v>14</v>
      </c>
      <c r="C19" s="13" t="s">
        <v>39</v>
      </c>
      <c r="D19" s="11">
        <f>D18+D17+D16+D15+D14+D13+D12+D11+D10</f>
        <v>232669.49599999998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39</v>
      </c>
      <c r="D20" s="11">
        <f>D6-D19</f>
        <v>-19999.999999999971</v>
      </c>
    </row>
    <row r="21" spans="1:6">
      <c r="A21" s="5"/>
      <c r="B21" s="24" t="s">
        <v>16</v>
      </c>
      <c r="C21" s="25"/>
      <c r="D21" s="26"/>
    </row>
    <row r="22" spans="1:6">
      <c r="A22" s="5"/>
      <c r="B22" s="6" t="s">
        <v>17</v>
      </c>
      <c r="C22" s="13" t="s">
        <v>39</v>
      </c>
      <c r="D22" s="11"/>
    </row>
    <row r="23" spans="1:6">
      <c r="A23" s="5"/>
      <c r="B23" s="7" t="s">
        <v>29</v>
      </c>
      <c r="C23" s="13" t="s">
        <v>39</v>
      </c>
      <c r="D23" s="12">
        <v>15000</v>
      </c>
    </row>
    <row r="24" spans="1:6">
      <c r="A24" s="5"/>
      <c r="B24" s="6" t="s">
        <v>15</v>
      </c>
      <c r="C24" s="13" t="s">
        <v>39</v>
      </c>
      <c r="D24" s="11">
        <f>D7-D23</f>
        <v>47555.904000000002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sheetPr>
    <tabColor theme="0"/>
  </sheetPr>
  <dimension ref="A1:F24"/>
  <sheetViews>
    <sheetView topLeftCell="A6" workbookViewId="0">
      <selection activeCell="J28" sqref="J28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268516.5</v>
      </c>
    </row>
    <row r="6" spans="1:6">
      <c r="A6" s="5"/>
      <c r="B6" s="7" t="s">
        <v>4</v>
      </c>
      <c r="C6" s="13" t="s">
        <v>39</v>
      </c>
      <c r="D6" s="12">
        <f>836.5*12*20.67</f>
        <v>207485.46000000002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836.5*6.08*12</f>
        <v>61031.040000000001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8" t="s">
        <v>8</v>
      </c>
      <c r="C10" s="13" t="s">
        <v>39</v>
      </c>
      <c r="D10" s="21">
        <f>836.5*12*2.38</f>
        <v>23890.44</v>
      </c>
      <c r="F10" s="19">
        <v>12.62</v>
      </c>
    </row>
    <row r="11" spans="1:6">
      <c r="A11" s="5"/>
      <c r="B11" s="8" t="s">
        <v>40</v>
      </c>
      <c r="C11" s="13" t="s">
        <v>39</v>
      </c>
      <c r="D11" s="21">
        <v>20000</v>
      </c>
      <c r="F11" s="19"/>
    </row>
    <row r="12" spans="1:6">
      <c r="A12" s="5"/>
      <c r="B12" s="8" t="s">
        <v>9</v>
      </c>
      <c r="C12" s="13" t="s">
        <v>39</v>
      </c>
      <c r="D12" s="21">
        <f>836.5*12*4.82</f>
        <v>48383.16</v>
      </c>
      <c r="F12" s="19">
        <v>15.55</v>
      </c>
    </row>
    <row r="13" spans="1:6">
      <c r="A13" s="5"/>
      <c r="B13" s="8" t="s">
        <v>10</v>
      </c>
      <c r="C13" s="13" t="s">
        <v>39</v>
      </c>
      <c r="D13" s="21">
        <f>836.5*12*2.29</f>
        <v>22987.02</v>
      </c>
      <c r="F13" s="19">
        <v>11.46</v>
      </c>
    </row>
    <row r="14" spans="1:6">
      <c r="A14" s="5"/>
      <c r="B14" s="8" t="s">
        <v>11</v>
      </c>
      <c r="C14" s="13" t="s">
        <v>39</v>
      </c>
      <c r="D14" s="21">
        <f>836.5*12*3.4</f>
        <v>34129.199999999997</v>
      </c>
      <c r="F14" s="19">
        <v>13.98</v>
      </c>
    </row>
    <row r="15" spans="1:6">
      <c r="A15" s="5"/>
      <c r="B15" s="8" t="s">
        <v>12</v>
      </c>
      <c r="C15" s="13" t="s">
        <v>39</v>
      </c>
      <c r="D15" s="21">
        <f>836.5*12*2.61</f>
        <v>26199.18</v>
      </c>
      <c r="F15" s="19">
        <v>8.1199999999999992</v>
      </c>
    </row>
    <row r="16" spans="1:6">
      <c r="A16" s="5"/>
      <c r="B16" s="8" t="s">
        <v>13</v>
      </c>
      <c r="C16" s="13" t="s">
        <v>39</v>
      </c>
      <c r="D16" s="21">
        <f>836.5*12*4.64</f>
        <v>46576.32</v>
      </c>
      <c r="F16" s="19">
        <v>18.14</v>
      </c>
    </row>
    <row r="17" spans="1:6">
      <c r="A17" s="5"/>
      <c r="B17" s="8" t="s">
        <v>36</v>
      </c>
      <c r="C17" s="13" t="s">
        <v>39</v>
      </c>
      <c r="D17" s="21">
        <f>836.5*12*0.1</f>
        <v>1003.8000000000001</v>
      </c>
      <c r="E17" s="16"/>
      <c r="F17" s="19">
        <v>0.41</v>
      </c>
    </row>
    <row r="18" spans="1:6">
      <c r="A18" s="5"/>
      <c r="B18" s="8" t="s">
        <v>38</v>
      </c>
      <c r="C18" s="13" t="s">
        <v>39</v>
      </c>
      <c r="D18" s="21">
        <f>836.5*12*0.43</f>
        <v>4316.34</v>
      </c>
      <c r="F18" s="19">
        <v>2.52</v>
      </c>
    </row>
    <row r="19" spans="1:6">
      <c r="A19" s="5"/>
      <c r="B19" s="9" t="s">
        <v>14</v>
      </c>
      <c r="C19" s="13" t="s">
        <v>39</v>
      </c>
      <c r="D19" s="11">
        <f>D18+D17+D16+D15+D14+D13+D12+D11+D10</f>
        <v>227485.46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39</v>
      </c>
      <c r="D20" s="11">
        <f>D6-D19</f>
        <v>-19999.999999999971</v>
      </c>
    </row>
    <row r="21" spans="1:6">
      <c r="A21" s="5"/>
      <c r="B21" s="24" t="s">
        <v>16</v>
      </c>
      <c r="C21" s="25"/>
      <c r="D21" s="26"/>
    </row>
    <row r="22" spans="1:6">
      <c r="A22" s="5"/>
      <c r="B22" s="6" t="s">
        <v>17</v>
      </c>
      <c r="C22" s="13" t="s">
        <v>39</v>
      </c>
      <c r="D22" s="11"/>
    </row>
    <row r="23" spans="1:6">
      <c r="A23" s="5"/>
      <c r="B23" s="7" t="s">
        <v>29</v>
      </c>
      <c r="C23" s="13" t="s">
        <v>39</v>
      </c>
      <c r="D23" s="12">
        <v>15000</v>
      </c>
    </row>
    <row r="24" spans="1:6">
      <c r="A24" s="5"/>
      <c r="B24" s="6" t="s">
        <v>15</v>
      </c>
      <c r="C24" s="13" t="s">
        <v>39</v>
      </c>
      <c r="D24" s="11">
        <f>D7-D23</f>
        <v>46031.040000000001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>
  <sheetPr>
    <tabColor theme="0"/>
  </sheetPr>
  <dimension ref="A1:F24"/>
  <sheetViews>
    <sheetView topLeftCell="A6" workbookViewId="0">
      <selection activeCell="A73" sqref="A23:XFD73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268677</v>
      </c>
    </row>
    <row r="6" spans="1:6">
      <c r="A6" s="5"/>
      <c r="B6" s="7" t="s">
        <v>4</v>
      </c>
      <c r="C6" s="13" t="s">
        <v>39</v>
      </c>
      <c r="D6" s="12">
        <f>837*12*20.67</f>
        <v>207609.48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837*6.08*12</f>
        <v>61067.520000000004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8" t="s">
        <v>8</v>
      </c>
      <c r="C10" s="13" t="s">
        <v>39</v>
      </c>
      <c r="D10" s="21">
        <f>837*12*2.38</f>
        <v>23904.719999999998</v>
      </c>
      <c r="F10" s="19">
        <v>12.62</v>
      </c>
    </row>
    <row r="11" spans="1:6">
      <c r="A11" s="5"/>
      <c r="B11" s="8" t="s">
        <v>40</v>
      </c>
      <c r="C11" s="13" t="s">
        <v>39</v>
      </c>
      <c r="D11" s="21">
        <v>20000</v>
      </c>
      <c r="F11" s="19"/>
    </row>
    <row r="12" spans="1:6">
      <c r="A12" s="5"/>
      <c r="B12" s="8" t="s">
        <v>9</v>
      </c>
      <c r="C12" s="13" t="s">
        <v>39</v>
      </c>
      <c r="D12" s="21">
        <f>837*12*4.82</f>
        <v>48412.08</v>
      </c>
      <c r="F12" s="19">
        <v>15.55</v>
      </c>
    </row>
    <row r="13" spans="1:6">
      <c r="A13" s="5"/>
      <c r="B13" s="8" t="s">
        <v>10</v>
      </c>
      <c r="C13" s="13" t="s">
        <v>39</v>
      </c>
      <c r="D13" s="21">
        <f>837*12*2.29</f>
        <v>23000.760000000002</v>
      </c>
      <c r="F13" s="19">
        <v>11.46</v>
      </c>
    </row>
    <row r="14" spans="1:6">
      <c r="A14" s="5"/>
      <c r="B14" s="8" t="s">
        <v>11</v>
      </c>
      <c r="C14" s="13" t="s">
        <v>39</v>
      </c>
      <c r="D14" s="21">
        <f>837*12*3.4</f>
        <v>34149.599999999999</v>
      </c>
      <c r="F14" s="19">
        <v>13.98</v>
      </c>
    </row>
    <row r="15" spans="1:6">
      <c r="A15" s="5"/>
      <c r="B15" s="8" t="s">
        <v>12</v>
      </c>
      <c r="C15" s="13" t="s">
        <v>39</v>
      </c>
      <c r="D15" s="21">
        <f>837*12*2.61</f>
        <v>26214.84</v>
      </c>
      <c r="F15" s="19">
        <v>8.1199999999999992</v>
      </c>
    </row>
    <row r="16" spans="1:6">
      <c r="A16" s="5"/>
      <c r="B16" s="8" t="s">
        <v>13</v>
      </c>
      <c r="C16" s="13" t="s">
        <v>39</v>
      </c>
      <c r="D16" s="21">
        <f>837*12*4.64</f>
        <v>46604.159999999996</v>
      </c>
      <c r="F16" s="19">
        <v>18.14</v>
      </c>
    </row>
    <row r="17" spans="1:6">
      <c r="A17" s="5"/>
      <c r="B17" s="8" t="s">
        <v>36</v>
      </c>
      <c r="C17" s="13" t="s">
        <v>39</v>
      </c>
      <c r="D17" s="21">
        <f>837*12*0.1</f>
        <v>1004.4000000000001</v>
      </c>
      <c r="E17" s="16"/>
      <c r="F17" s="19">
        <v>0.41</v>
      </c>
    </row>
    <row r="18" spans="1:6">
      <c r="A18" s="5"/>
      <c r="B18" s="8" t="s">
        <v>38</v>
      </c>
      <c r="C18" s="13" t="s">
        <v>39</v>
      </c>
      <c r="D18" s="21">
        <f>837*12*0.43</f>
        <v>4318.92</v>
      </c>
      <c r="F18" s="19">
        <v>2.52</v>
      </c>
    </row>
    <row r="19" spans="1:6">
      <c r="A19" s="5"/>
      <c r="B19" s="9" t="s">
        <v>14</v>
      </c>
      <c r="C19" s="13" t="s">
        <v>39</v>
      </c>
      <c r="D19" s="11">
        <f>D18+D17+D16+D15+D14+D13+D12+D11+D10</f>
        <v>227609.48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39</v>
      </c>
      <c r="D20" s="11">
        <f>D6-D19</f>
        <v>-20000</v>
      </c>
    </row>
    <row r="21" spans="1:6">
      <c r="A21" s="5"/>
      <c r="B21" s="24" t="s">
        <v>16</v>
      </c>
      <c r="C21" s="25"/>
      <c r="D21" s="26"/>
    </row>
    <row r="22" spans="1:6">
      <c r="A22" s="5"/>
      <c r="B22" s="6" t="s">
        <v>17</v>
      </c>
      <c r="C22" s="13" t="s">
        <v>39</v>
      </c>
      <c r="D22" s="11"/>
    </row>
    <row r="23" spans="1:6">
      <c r="A23" s="5"/>
      <c r="B23" s="7" t="s">
        <v>29</v>
      </c>
      <c r="C23" s="13" t="s">
        <v>39</v>
      </c>
      <c r="D23" s="12">
        <v>15000</v>
      </c>
    </row>
    <row r="24" spans="1:6">
      <c r="A24" s="5"/>
      <c r="B24" s="6" t="s">
        <v>15</v>
      </c>
      <c r="C24" s="13" t="s">
        <v>39</v>
      </c>
      <c r="D24" s="11">
        <f>D7-D23</f>
        <v>46067.520000000004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>
  <sheetPr>
    <tabColor theme="0"/>
  </sheetPr>
  <dimension ref="A1:F24"/>
  <sheetViews>
    <sheetView topLeftCell="A6" workbookViewId="0">
      <selection activeCell="A73" sqref="A23:XFD73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264536.10000000003</v>
      </c>
    </row>
    <row r="6" spans="1:6">
      <c r="A6" s="5"/>
      <c r="B6" s="7" t="s">
        <v>4</v>
      </c>
      <c r="C6" s="13" t="s">
        <v>39</v>
      </c>
      <c r="D6" s="12">
        <f>824.1*12*20.67</f>
        <v>204409.76400000002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824.1*6.08*12</f>
        <v>60126.336000000003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8" t="s">
        <v>8</v>
      </c>
      <c r="C10" s="13" t="s">
        <v>39</v>
      </c>
      <c r="D10" s="21">
        <f>824.1*12*2.38</f>
        <v>23536.296000000002</v>
      </c>
      <c r="F10" s="19">
        <v>12.62</v>
      </c>
    </row>
    <row r="11" spans="1:6">
      <c r="A11" s="5"/>
      <c r="B11" s="8" t="s">
        <v>40</v>
      </c>
      <c r="C11" s="13" t="s">
        <v>39</v>
      </c>
      <c r="D11" s="21">
        <v>20000</v>
      </c>
      <c r="F11" s="19"/>
    </row>
    <row r="12" spans="1:6">
      <c r="A12" s="5"/>
      <c r="B12" s="8" t="s">
        <v>9</v>
      </c>
      <c r="C12" s="13" t="s">
        <v>39</v>
      </c>
      <c r="D12" s="21">
        <f>824.1*12*4.82</f>
        <v>47665.944000000003</v>
      </c>
      <c r="F12" s="19">
        <v>15.55</v>
      </c>
    </row>
    <row r="13" spans="1:6">
      <c r="A13" s="5"/>
      <c r="B13" s="8" t="s">
        <v>10</v>
      </c>
      <c r="C13" s="13" t="s">
        <v>39</v>
      </c>
      <c r="D13" s="21">
        <f>824.1*12*2.29</f>
        <v>22646.268000000004</v>
      </c>
      <c r="F13" s="19">
        <v>11.46</v>
      </c>
    </row>
    <row r="14" spans="1:6">
      <c r="A14" s="5"/>
      <c r="B14" s="8" t="s">
        <v>11</v>
      </c>
      <c r="C14" s="13" t="s">
        <v>39</v>
      </c>
      <c r="D14" s="21">
        <f>824.1*12*3.4</f>
        <v>33623.279999999999</v>
      </c>
      <c r="F14" s="19">
        <v>13.98</v>
      </c>
    </row>
    <row r="15" spans="1:6">
      <c r="A15" s="5"/>
      <c r="B15" s="8" t="s">
        <v>12</v>
      </c>
      <c r="C15" s="13" t="s">
        <v>39</v>
      </c>
      <c r="D15" s="21">
        <f>824.1*12*2.61</f>
        <v>25810.812000000002</v>
      </c>
      <c r="F15" s="19">
        <v>8.1199999999999992</v>
      </c>
    </row>
    <row r="16" spans="1:6">
      <c r="A16" s="5"/>
      <c r="B16" s="8" t="s">
        <v>13</v>
      </c>
      <c r="C16" s="13" t="s">
        <v>39</v>
      </c>
      <c r="D16" s="21">
        <f>824.1*12*4.64</f>
        <v>45885.887999999999</v>
      </c>
      <c r="F16" s="19">
        <v>18.14</v>
      </c>
    </row>
    <row r="17" spans="1:6">
      <c r="A17" s="5"/>
      <c r="B17" s="8" t="s">
        <v>36</v>
      </c>
      <c r="C17" s="13" t="s">
        <v>39</v>
      </c>
      <c r="D17" s="21">
        <f>824.1*12*0.1</f>
        <v>988.92000000000007</v>
      </c>
      <c r="E17" s="16"/>
      <c r="F17" s="19">
        <v>0.41</v>
      </c>
    </row>
    <row r="18" spans="1:6">
      <c r="A18" s="5"/>
      <c r="B18" s="8" t="s">
        <v>38</v>
      </c>
      <c r="C18" s="13" t="s">
        <v>39</v>
      </c>
      <c r="D18" s="21">
        <f>824.1*12*0.43</f>
        <v>4252.3560000000007</v>
      </c>
      <c r="F18" s="19">
        <v>2.52</v>
      </c>
    </row>
    <row r="19" spans="1:6">
      <c r="A19" s="5"/>
      <c r="B19" s="9" t="s">
        <v>14</v>
      </c>
      <c r="C19" s="13" t="s">
        <v>39</v>
      </c>
      <c r="D19" s="11">
        <f>D18+D17+D16+D15+D14+D13+D12+D11+D10</f>
        <v>224409.764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39</v>
      </c>
      <c r="D20" s="11">
        <f>D6-D19</f>
        <v>-19999.999999999971</v>
      </c>
    </row>
    <row r="21" spans="1:6">
      <c r="A21" s="5"/>
      <c r="B21" s="24" t="s">
        <v>16</v>
      </c>
      <c r="C21" s="25"/>
      <c r="D21" s="26"/>
    </row>
    <row r="22" spans="1:6">
      <c r="A22" s="5"/>
      <c r="B22" s="6" t="s">
        <v>17</v>
      </c>
      <c r="C22" s="13" t="s">
        <v>39</v>
      </c>
      <c r="D22" s="11"/>
    </row>
    <row r="23" spans="1:6">
      <c r="A23" s="5"/>
      <c r="B23" s="7" t="s">
        <v>29</v>
      </c>
      <c r="C23" s="13" t="s">
        <v>39</v>
      </c>
      <c r="D23" s="12">
        <v>15000</v>
      </c>
    </row>
    <row r="24" spans="1:6">
      <c r="A24" s="5"/>
      <c r="B24" s="6" t="s">
        <v>15</v>
      </c>
      <c r="C24" s="13" t="s">
        <v>39</v>
      </c>
      <c r="D24" s="11">
        <f>D7-D23</f>
        <v>45126.336000000003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>
  <sheetPr>
    <tabColor theme="0"/>
  </sheetPr>
  <dimension ref="A1:F24"/>
  <sheetViews>
    <sheetView topLeftCell="A6" workbookViewId="0">
      <selection activeCell="A74" sqref="A23:XFD74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275610.60000000003</v>
      </c>
    </row>
    <row r="6" spans="1:6">
      <c r="A6" s="5"/>
      <c r="B6" s="7" t="s">
        <v>4</v>
      </c>
      <c r="C6" s="13" t="s">
        <v>39</v>
      </c>
      <c r="D6" s="12">
        <f>858.6*12*20.67</f>
        <v>212967.14400000003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858.6*6.08*12</f>
        <v>62643.456000000006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8" t="s">
        <v>8</v>
      </c>
      <c r="C10" s="13" t="s">
        <v>39</v>
      </c>
      <c r="D10" s="21">
        <f>858.6*12*2.38</f>
        <v>24521.616000000002</v>
      </c>
      <c r="F10" s="19">
        <v>12.62</v>
      </c>
    </row>
    <row r="11" spans="1:6">
      <c r="A11" s="5"/>
      <c r="B11" s="8" t="s">
        <v>40</v>
      </c>
      <c r="C11" s="13" t="s">
        <v>39</v>
      </c>
      <c r="D11" s="21">
        <v>20000</v>
      </c>
      <c r="F11" s="19"/>
    </row>
    <row r="12" spans="1:6">
      <c r="A12" s="5"/>
      <c r="B12" s="8" t="s">
        <v>9</v>
      </c>
      <c r="C12" s="13" t="s">
        <v>39</v>
      </c>
      <c r="D12" s="21">
        <f>858.6*12*4.82</f>
        <v>49661.424000000006</v>
      </c>
      <c r="F12" s="19">
        <v>15.55</v>
      </c>
    </row>
    <row r="13" spans="1:6">
      <c r="A13" s="5"/>
      <c r="B13" s="8" t="s">
        <v>10</v>
      </c>
      <c r="C13" s="13" t="s">
        <v>39</v>
      </c>
      <c r="D13" s="21">
        <f>858.6*12*2.29</f>
        <v>23594.328000000001</v>
      </c>
      <c r="F13" s="19">
        <v>11.46</v>
      </c>
    </row>
    <row r="14" spans="1:6">
      <c r="A14" s="5"/>
      <c r="B14" s="8" t="s">
        <v>11</v>
      </c>
      <c r="C14" s="13" t="s">
        <v>39</v>
      </c>
      <c r="D14" s="21">
        <f>858.6*12*3.4</f>
        <v>35030.880000000005</v>
      </c>
      <c r="F14" s="19">
        <v>13.98</v>
      </c>
    </row>
    <row r="15" spans="1:6">
      <c r="A15" s="5"/>
      <c r="B15" s="8" t="s">
        <v>12</v>
      </c>
      <c r="C15" s="13" t="s">
        <v>39</v>
      </c>
      <c r="D15" s="21">
        <f>858.6*12*2.61</f>
        <v>26891.351999999999</v>
      </c>
      <c r="F15" s="19">
        <v>8.1199999999999992</v>
      </c>
    </row>
    <row r="16" spans="1:6">
      <c r="A16" s="5"/>
      <c r="B16" s="8" t="s">
        <v>13</v>
      </c>
      <c r="C16" s="13" t="s">
        <v>39</v>
      </c>
      <c r="D16" s="21">
        <f>858.6*12*4.64</f>
        <v>47806.847999999998</v>
      </c>
      <c r="F16" s="19">
        <v>18.14</v>
      </c>
    </row>
    <row r="17" spans="1:6">
      <c r="A17" s="5"/>
      <c r="B17" s="8" t="s">
        <v>36</v>
      </c>
      <c r="C17" s="13" t="s">
        <v>39</v>
      </c>
      <c r="D17" s="21">
        <f>858.6*12*0.1</f>
        <v>1030.3200000000002</v>
      </c>
      <c r="E17" s="16"/>
      <c r="F17" s="19">
        <v>0.41</v>
      </c>
    </row>
    <row r="18" spans="1:6">
      <c r="A18" s="5"/>
      <c r="B18" s="8" t="s">
        <v>38</v>
      </c>
      <c r="C18" s="13" t="s">
        <v>39</v>
      </c>
      <c r="D18" s="21">
        <f>858.6*12*0.43</f>
        <v>4430.3760000000002</v>
      </c>
      <c r="F18" s="19">
        <v>2.52</v>
      </c>
    </row>
    <row r="19" spans="1:6">
      <c r="A19" s="5"/>
      <c r="B19" s="9" t="s">
        <v>14</v>
      </c>
      <c r="C19" s="13" t="s">
        <v>39</v>
      </c>
      <c r="D19" s="11">
        <f>D18+D17+D16+D15+D14+D13+D12+D11+D10</f>
        <v>232967.144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39</v>
      </c>
      <c r="D20" s="11">
        <f>D6-D19</f>
        <v>-19999.999999999971</v>
      </c>
    </row>
    <row r="21" spans="1:6">
      <c r="A21" s="5"/>
      <c r="B21" s="24" t="s">
        <v>16</v>
      </c>
      <c r="C21" s="25"/>
      <c r="D21" s="26"/>
    </row>
    <row r="22" spans="1:6">
      <c r="A22" s="5"/>
      <c r="B22" s="6" t="s">
        <v>17</v>
      </c>
      <c r="C22" s="13" t="s">
        <v>39</v>
      </c>
      <c r="D22" s="11"/>
    </row>
    <row r="23" spans="1:6">
      <c r="A23" s="5"/>
      <c r="B23" s="7" t="s">
        <v>29</v>
      </c>
      <c r="C23" s="13" t="s">
        <v>39</v>
      </c>
      <c r="D23" s="12">
        <v>15000</v>
      </c>
    </row>
    <row r="24" spans="1:6">
      <c r="A24" s="5"/>
      <c r="B24" s="6" t="s">
        <v>15</v>
      </c>
      <c r="C24" s="13" t="s">
        <v>39</v>
      </c>
      <c r="D24" s="11">
        <f>D7-D23</f>
        <v>47643.456000000006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1:F30"/>
  <sheetViews>
    <sheetView topLeftCell="A6" workbookViewId="0">
      <selection activeCell="A25" sqref="A25:XFD29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186486.31200000001</v>
      </c>
    </row>
    <row r="6" spans="1:6">
      <c r="A6" s="5"/>
      <c r="B6" s="7" t="s">
        <v>4</v>
      </c>
      <c r="C6" s="13" t="s">
        <v>39</v>
      </c>
      <c r="D6" s="12">
        <f>830.6*12*14.66</f>
        <v>146119.152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830.6*4.05*12</f>
        <v>40367.159999999996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830.6*12*0.29</f>
        <v>2890.4879999999998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830.6*12*2.23</f>
        <v>22226.856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830.6*12*1.85</f>
        <v>18439.320000000003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830.6*12*2.28</f>
        <v>22725.216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830.6*12*1.68</f>
        <v>16744.896000000001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830.6*12*2.05</f>
        <v>20432.759999999998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830.6*12*1.19</f>
        <v>11860.968000000001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830.6*12*2.66</f>
        <v>26512.752000000004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830.6*12*0.06</f>
        <v>598.03200000000004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830.6*12*0.37</f>
        <v>3687.864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166119.152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-20000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21</v>
      </c>
      <c r="C25" s="13" t="s">
        <v>39</v>
      </c>
      <c r="D25" s="12">
        <v>26000</v>
      </c>
    </row>
    <row r="26" spans="1:6">
      <c r="A26" s="5"/>
      <c r="B26" s="7" t="s">
        <v>26</v>
      </c>
      <c r="C26" s="13" t="s">
        <v>39</v>
      </c>
      <c r="D26" s="12">
        <v>4000</v>
      </c>
    </row>
    <row r="27" spans="1:6">
      <c r="A27" s="5"/>
      <c r="B27" s="7" t="s">
        <v>29</v>
      </c>
      <c r="C27" s="13" t="s">
        <v>39</v>
      </c>
      <c r="D27" s="12">
        <v>15000</v>
      </c>
    </row>
    <row r="28" spans="1:6">
      <c r="A28" s="5"/>
      <c r="B28" s="7" t="s">
        <v>31</v>
      </c>
      <c r="C28" s="13" t="s">
        <v>39</v>
      </c>
      <c r="D28" s="12">
        <v>5000</v>
      </c>
    </row>
    <row r="29" spans="1:6">
      <c r="A29" s="5"/>
      <c r="B29" s="7" t="s">
        <v>33</v>
      </c>
      <c r="C29" s="13" t="s">
        <v>39</v>
      </c>
      <c r="D29" s="12">
        <v>1500</v>
      </c>
    </row>
    <row r="30" spans="1:6">
      <c r="A30" s="5"/>
      <c r="B30" s="6" t="s">
        <v>15</v>
      </c>
      <c r="C30" s="13" t="s">
        <v>39</v>
      </c>
      <c r="D30" s="11">
        <f>D7-D25-D26-D28-D29-D27</f>
        <v>-11132.840000000004</v>
      </c>
    </row>
  </sheetData>
  <mergeCells count="3">
    <mergeCell ref="B23:D23"/>
    <mergeCell ref="A2:D2"/>
    <mergeCell ref="B9:D9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>
  <sheetPr>
    <tabColor theme="0"/>
  </sheetPr>
  <dimension ref="A1:F24"/>
  <sheetViews>
    <sheetView topLeftCell="A6" workbookViewId="0">
      <selection activeCell="A74" sqref="A23:XFD74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263541</v>
      </c>
    </row>
    <row r="6" spans="1:6">
      <c r="A6" s="5"/>
      <c r="B6" s="7" t="s">
        <v>4</v>
      </c>
      <c r="C6" s="13" t="s">
        <v>39</v>
      </c>
      <c r="D6" s="12">
        <f>821*12*20.67</f>
        <v>203640.84000000003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821*6.08*12</f>
        <v>59900.160000000003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8" t="s">
        <v>8</v>
      </c>
      <c r="C10" s="13" t="s">
        <v>39</v>
      </c>
      <c r="D10" s="21">
        <f>821*12*2.38</f>
        <v>23447.759999999998</v>
      </c>
      <c r="F10" s="19">
        <v>12.62</v>
      </c>
    </row>
    <row r="11" spans="1:6">
      <c r="A11" s="5"/>
      <c r="B11" s="8" t="s">
        <v>40</v>
      </c>
      <c r="C11" s="13" t="s">
        <v>39</v>
      </c>
      <c r="D11" s="21">
        <v>20000</v>
      </c>
      <c r="F11" s="19"/>
    </row>
    <row r="12" spans="1:6">
      <c r="A12" s="5"/>
      <c r="B12" s="8" t="s">
        <v>9</v>
      </c>
      <c r="C12" s="13" t="s">
        <v>39</v>
      </c>
      <c r="D12" s="21">
        <f>821*12*4.82</f>
        <v>47486.64</v>
      </c>
      <c r="F12" s="19">
        <v>15.55</v>
      </c>
    </row>
    <row r="13" spans="1:6">
      <c r="A13" s="5"/>
      <c r="B13" s="8" t="s">
        <v>10</v>
      </c>
      <c r="C13" s="13" t="s">
        <v>39</v>
      </c>
      <c r="D13" s="21">
        <f>821*12*2.29</f>
        <v>22561.08</v>
      </c>
      <c r="F13" s="19">
        <v>11.46</v>
      </c>
    </row>
    <row r="14" spans="1:6">
      <c r="A14" s="5"/>
      <c r="B14" s="8" t="s">
        <v>11</v>
      </c>
      <c r="C14" s="13" t="s">
        <v>39</v>
      </c>
      <c r="D14" s="21">
        <f>821*12*3.4</f>
        <v>33496.799999999996</v>
      </c>
      <c r="F14" s="19">
        <v>13.98</v>
      </c>
    </row>
    <row r="15" spans="1:6">
      <c r="A15" s="5"/>
      <c r="B15" s="8" t="s">
        <v>12</v>
      </c>
      <c r="C15" s="13" t="s">
        <v>39</v>
      </c>
      <c r="D15" s="21">
        <f>821*12*2.61</f>
        <v>25713.719999999998</v>
      </c>
      <c r="F15" s="19">
        <v>8.1199999999999992</v>
      </c>
    </row>
    <row r="16" spans="1:6">
      <c r="A16" s="5"/>
      <c r="B16" s="8" t="s">
        <v>13</v>
      </c>
      <c r="C16" s="13" t="s">
        <v>39</v>
      </c>
      <c r="D16" s="21">
        <f>821*12*4.64</f>
        <v>45713.279999999999</v>
      </c>
      <c r="F16" s="19">
        <v>18.14</v>
      </c>
    </row>
    <row r="17" spans="1:6">
      <c r="A17" s="5"/>
      <c r="B17" s="8" t="s">
        <v>36</v>
      </c>
      <c r="C17" s="13" t="s">
        <v>39</v>
      </c>
      <c r="D17" s="21">
        <f>821*12*0.1</f>
        <v>985.2</v>
      </c>
      <c r="E17" s="16"/>
      <c r="F17" s="19">
        <v>0.41</v>
      </c>
    </row>
    <row r="18" spans="1:6">
      <c r="A18" s="5"/>
      <c r="B18" s="8" t="s">
        <v>38</v>
      </c>
      <c r="C18" s="13" t="s">
        <v>39</v>
      </c>
      <c r="D18" s="21">
        <f>821*12*0.43</f>
        <v>4236.3599999999997</v>
      </c>
      <c r="F18" s="19">
        <v>2.52</v>
      </c>
    </row>
    <row r="19" spans="1:6">
      <c r="A19" s="5"/>
      <c r="B19" s="9" t="s">
        <v>14</v>
      </c>
      <c r="C19" s="13" t="s">
        <v>39</v>
      </c>
      <c r="D19" s="11">
        <f>D18+D17+D16+D15+D14+D13+D12+D11+D10</f>
        <v>223640.84000000003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39</v>
      </c>
      <c r="D20" s="11">
        <f>D6-D19</f>
        <v>-20000</v>
      </c>
    </row>
    <row r="21" spans="1:6">
      <c r="A21" s="5"/>
      <c r="B21" s="24" t="s">
        <v>16</v>
      </c>
      <c r="C21" s="25"/>
      <c r="D21" s="26"/>
    </row>
    <row r="22" spans="1:6">
      <c r="A22" s="5"/>
      <c r="B22" s="6" t="s">
        <v>17</v>
      </c>
      <c r="C22" s="13" t="s">
        <v>39</v>
      </c>
      <c r="D22" s="11"/>
    </row>
    <row r="23" spans="1:6">
      <c r="A23" s="5"/>
      <c r="B23" s="7" t="s">
        <v>29</v>
      </c>
      <c r="C23" s="13" t="s">
        <v>39</v>
      </c>
      <c r="D23" s="12">
        <v>15000</v>
      </c>
    </row>
    <row r="24" spans="1:6">
      <c r="A24" s="5"/>
      <c r="B24" s="6" t="s">
        <v>15</v>
      </c>
      <c r="C24" s="13" t="s">
        <v>39</v>
      </c>
      <c r="D24" s="11">
        <f>D7-D23</f>
        <v>44900.160000000003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>
  <sheetPr>
    <tabColor theme="0"/>
  </sheetPr>
  <dimension ref="A1:F24"/>
  <sheetViews>
    <sheetView topLeftCell="A6" workbookViewId="0">
      <selection activeCell="A24" sqref="A24:XFD38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131754.45000000001</v>
      </c>
    </row>
    <row r="6" spans="1:6">
      <c r="A6" s="5"/>
      <c r="B6" s="7" t="s">
        <v>4</v>
      </c>
      <c r="C6" s="13" t="s">
        <v>39</v>
      </c>
      <c r="D6" s="12">
        <f>820.9*6*20.67</f>
        <v>101808.018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820.9*6.08*6</f>
        <v>29946.432000000001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8" t="s">
        <v>8</v>
      </c>
      <c r="C10" s="13" t="s">
        <v>39</v>
      </c>
      <c r="D10" s="21">
        <f>820.9*6*2.38</f>
        <v>11722.451999999999</v>
      </c>
      <c r="F10" s="19">
        <v>12.62</v>
      </c>
    </row>
    <row r="11" spans="1:6">
      <c r="A11" s="5"/>
      <c r="B11" s="8" t="s">
        <v>40</v>
      </c>
      <c r="C11" s="13" t="s">
        <v>39</v>
      </c>
      <c r="D11" s="21">
        <v>20000</v>
      </c>
      <c r="F11" s="19"/>
    </row>
    <row r="12" spans="1:6">
      <c r="A12" s="5"/>
      <c r="B12" s="8" t="s">
        <v>9</v>
      </c>
      <c r="C12" s="13" t="s">
        <v>39</v>
      </c>
      <c r="D12" s="21">
        <f>820.9*6*4.82</f>
        <v>23740.428</v>
      </c>
      <c r="F12" s="19">
        <v>15.55</v>
      </c>
    </row>
    <row r="13" spans="1:6">
      <c r="A13" s="5"/>
      <c r="B13" s="8" t="s">
        <v>10</v>
      </c>
      <c r="C13" s="13" t="s">
        <v>39</v>
      </c>
      <c r="D13" s="21">
        <f>820.9*6*2.29</f>
        <v>11279.165999999999</v>
      </c>
      <c r="F13" s="19">
        <v>11.46</v>
      </c>
    </row>
    <row r="14" spans="1:6">
      <c r="A14" s="5"/>
      <c r="B14" s="8" t="s">
        <v>11</v>
      </c>
      <c r="C14" s="13" t="s">
        <v>39</v>
      </c>
      <c r="D14" s="21">
        <f>820.9*6*3.4</f>
        <v>16746.359999999997</v>
      </c>
      <c r="F14" s="19">
        <v>13.98</v>
      </c>
    </row>
    <row r="15" spans="1:6">
      <c r="A15" s="5"/>
      <c r="B15" s="8" t="s">
        <v>12</v>
      </c>
      <c r="C15" s="13" t="s">
        <v>39</v>
      </c>
      <c r="D15" s="21">
        <f>820.9*6*2.61</f>
        <v>12855.293999999998</v>
      </c>
      <c r="F15" s="19">
        <v>8.1199999999999992</v>
      </c>
    </row>
    <row r="16" spans="1:6">
      <c r="A16" s="5"/>
      <c r="B16" s="8" t="s">
        <v>13</v>
      </c>
      <c r="C16" s="13" t="s">
        <v>39</v>
      </c>
      <c r="D16" s="21">
        <f>820.9*6*4.64</f>
        <v>22853.855999999996</v>
      </c>
      <c r="F16" s="19">
        <v>18.14</v>
      </c>
    </row>
    <row r="17" spans="1:6">
      <c r="A17" s="5"/>
      <c r="B17" s="8" t="s">
        <v>36</v>
      </c>
      <c r="C17" s="13" t="s">
        <v>39</v>
      </c>
      <c r="D17" s="21">
        <f>820.9*6*0.1</f>
        <v>492.53999999999996</v>
      </c>
      <c r="E17" s="16"/>
      <c r="F17" s="19">
        <v>0.41</v>
      </c>
    </row>
    <row r="18" spans="1:6">
      <c r="A18" s="5"/>
      <c r="B18" s="8" t="s">
        <v>38</v>
      </c>
      <c r="C18" s="13" t="s">
        <v>39</v>
      </c>
      <c r="D18" s="21">
        <f>820.9*6*0.43</f>
        <v>2117.922</v>
      </c>
      <c r="F18" s="19">
        <v>2.52</v>
      </c>
    </row>
    <row r="19" spans="1:6">
      <c r="A19" s="5"/>
      <c r="B19" s="9" t="s">
        <v>14</v>
      </c>
      <c r="C19" s="13" t="s">
        <v>39</v>
      </c>
      <c r="D19" s="11">
        <f>D18+D17+D16+D15+D14+D13+D12+D11+D10</f>
        <v>121808.018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39</v>
      </c>
      <c r="D20" s="11">
        <f>D6-D19</f>
        <v>-20000</v>
      </c>
    </row>
    <row r="21" spans="1:6">
      <c r="A21" s="5"/>
      <c r="B21" s="24" t="s">
        <v>16</v>
      </c>
      <c r="C21" s="25"/>
      <c r="D21" s="26"/>
    </row>
    <row r="22" spans="1:6">
      <c r="A22" s="5"/>
      <c r="B22" s="6" t="s">
        <v>17</v>
      </c>
      <c r="C22" s="13" t="s">
        <v>39</v>
      </c>
      <c r="D22" s="11"/>
    </row>
    <row r="23" spans="1:6">
      <c r="A23" s="5"/>
      <c r="B23" s="7" t="s">
        <v>29</v>
      </c>
      <c r="C23" s="13" t="s">
        <v>39</v>
      </c>
      <c r="D23" s="12">
        <v>15000</v>
      </c>
    </row>
    <row r="24" spans="1:6">
      <c r="A24" s="5"/>
      <c r="B24" s="6" t="s">
        <v>15</v>
      </c>
      <c r="C24" s="13" t="s">
        <v>39</v>
      </c>
      <c r="D24" s="11">
        <f>D7-D23</f>
        <v>14946.432000000001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>
  <sheetPr>
    <tabColor theme="0"/>
  </sheetPr>
  <dimension ref="A1:F24"/>
  <sheetViews>
    <sheetView topLeftCell="A6" workbookViewId="0">
      <selection activeCell="A23" sqref="A23:XFD73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132958.20000000001</v>
      </c>
    </row>
    <row r="6" spans="1:6">
      <c r="A6" s="5"/>
      <c r="B6" s="7" t="s">
        <v>4</v>
      </c>
      <c r="C6" s="13" t="s">
        <v>39</v>
      </c>
      <c r="D6" s="12">
        <f>828.4*6*20.67</f>
        <v>102738.16800000001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828.4*6.08*6</f>
        <v>30220.031999999999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8" t="s">
        <v>8</v>
      </c>
      <c r="C10" s="13" t="s">
        <v>39</v>
      </c>
      <c r="D10" s="21">
        <f>828.4*6*2.38</f>
        <v>11829.551999999998</v>
      </c>
      <c r="F10" s="19">
        <v>12.62</v>
      </c>
    </row>
    <row r="11" spans="1:6">
      <c r="A11" s="5"/>
      <c r="B11" s="8" t="s">
        <v>40</v>
      </c>
      <c r="C11" s="13" t="s">
        <v>39</v>
      </c>
      <c r="D11" s="21">
        <v>20000</v>
      </c>
      <c r="F11" s="19"/>
    </row>
    <row r="12" spans="1:6">
      <c r="A12" s="5"/>
      <c r="B12" s="8" t="s">
        <v>9</v>
      </c>
      <c r="C12" s="13" t="s">
        <v>39</v>
      </c>
      <c r="D12" s="21">
        <f>828.4*6*4.82</f>
        <v>23957.328000000001</v>
      </c>
      <c r="F12" s="19">
        <v>15.55</v>
      </c>
    </row>
    <row r="13" spans="1:6">
      <c r="A13" s="5"/>
      <c r="B13" s="8" t="s">
        <v>10</v>
      </c>
      <c r="C13" s="13" t="s">
        <v>39</v>
      </c>
      <c r="D13" s="21">
        <f>828.4*6*2.29</f>
        <v>11382.215999999999</v>
      </c>
      <c r="F13" s="19">
        <v>11.46</v>
      </c>
    </row>
    <row r="14" spans="1:6">
      <c r="A14" s="5"/>
      <c r="B14" s="8" t="s">
        <v>11</v>
      </c>
      <c r="C14" s="13" t="s">
        <v>39</v>
      </c>
      <c r="D14" s="21">
        <f>828.4*6*3.4</f>
        <v>16899.359999999997</v>
      </c>
      <c r="F14" s="19">
        <v>13.98</v>
      </c>
    </row>
    <row r="15" spans="1:6">
      <c r="A15" s="5"/>
      <c r="B15" s="8" t="s">
        <v>12</v>
      </c>
      <c r="C15" s="13" t="s">
        <v>39</v>
      </c>
      <c r="D15" s="21">
        <f>828.4*6*2.61</f>
        <v>12972.743999999999</v>
      </c>
      <c r="F15" s="19">
        <v>8.1199999999999992</v>
      </c>
    </row>
    <row r="16" spans="1:6">
      <c r="A16" s="5"/>
      <c r="B16" s="8" t="s">
        <v>13</v>
      </c>
      <c r="C16" s="13" t="s">
        <v>39</v>
      </c>
      <c r="D16" s="21">
        <f>828.4*6*4.64</f>
        <v>23062.655999999995</v>
      </c>
      <c r="F16" s="19">
        <v>18.14</v>
      </c>
    </row>
    <row r="17" spans="1:6">
      <c r="A17" s="5"/>
      <c r="B17" s="8" t="s">
        <v>36</v>
      </c>
      <c r="C17" s="13" t="s">
        <v>39</v>
      </c>
      <c r="D17" s="21">
        <f>828.4*6*0.1</f>
        <v>497.03999999999996</v>
      </c>
      <c r="E17" s="16"/>
      <c r="F17" s="19">
        <v>0.41</v>
      </c>
    </row>
    <row r="18" spans="1:6">
      <c r="A18" s="5"/>
      <c r="B18" s="8" t="s">
        <v>38</v>
      </c>
      <c r="C18" s="13" t="s">
        <v>39</v>
      </c>
      <c r="D18" s="21">
        <f>828.4*6*0.43</f>
        <v>2137.2719999999999</v>
      </c>
      <c r="F18" s="19">
        <v>2.52</v>
      </c>
    </row>
    <row r="19" spans="1:6">
      <c r="A19" s="5"/>
      <c r="B19" s="9" t="s">
        <v>14</v>
      </c>
      <c r="C19" s="13" t="s">
        <v>39</v>
      </c>
      <c r="D19" s="11">
        <f>D18+D17+D16+D15+D14+D13+D12+D11+D10</f>
        <v>122738.16799999998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39</v>
      </c>
      <c r="D20" s="11">
        <f>D6-D19</f>
        <v>-19999.999999999971</v>
      </c>
    </row>
    <row r="21" spans="1:6">
      <c r="A21" s="5"/>
      <c r="B21" s="24" t="s">
        <v>16</v>
      </c>
      <c r="C21" s="25"/>
      <c r="D21" s="26"/>
    </row>
    <row r="22" spans="1:6">
      <c r="A22" s="5"/>
      <c r="B22" s="6" t="s">
        <v>17</v>
      </c>
      <c r="C22" s="13" t="s">
        <v>39</v>
      </c>
      <c r="D22" s="11"/>
    </row>
    <row r="23" spans="1:6">
      <c r="A23" s="5"/>
      <c r="B23" s="7" t="s">
        <v>29</v>
      </c>
      <c r="C23" s="13" t="s">
        <v>39</v>
      </c>
      <c r="D23" s="12">
        <v>15000</v>
      </c>
    </row>
    <row r="24" spans="1:6">
      <c r="A24" s="5"/>
      <c r="B24" s="6" t="s">
        <v>15</v>
      </c>
      <c r="C24" s="13" t="s">
        <v>39</v>
      </c>
      <c r="D24" s="11">
        <f>D7-D23</f>
        <v>15220.031999999999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>
  <sheetPr>
    <tabColor theme="0"/>
  </sheetPr>
  <dimension ref="A1:F24"/>
  <sheetViews>
    <sheetView topLeftCell="A6" workbookViewId="0">
      <selection activeCell="A72" sqref="A23:XFD72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275674.8</v>
      </c>
    </row>
    <row r="6" spans="1:6">
      <c r="A6" s="5"/>
      <c r="B6" s="7" t="s">
        <v>4</v>
      </c>
      <c r="C6" s="13" t="s">
        <v>39</v>
      </c>
      <c r="D6" s="12">
        <f>858.8*12*20.67</f>
        <v>213016.75199999998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858.8*6.08*12</f>
        <v>62658.047999999995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8" t="s">
        <v>8</v>
      </c>
      <c r="C10" s="13" t="s">
        <v>39</v>
      </c>
      <c r="D10" s="21">
        <f>858.8*12*2.38</f>
        <v>24527.327999999994</v>
      </c>
      <c r="F10" s="19">
        <v>12.62</v>
      </c>
    </row>
    <row r="11" spans="1:6">
      <c r="A11" s="5"/>
      <c r="B11" s="8" t="s">
        <v>40</v>
      </c>
      <c r="C11" s="13" t="s">
        <v>39</v>
      </c>
      <c r="D11" s="21">
        <v>20000</v>
      </c>
      <c r="F11" s="19"/>
    </row>
    <row r="12" spans="1:6">
      <c r="A12" s="5"/>
      <c r="B12" s="8" t="s">
        <v>9</v>
      </c>
      <c r="C12" s="13" t="s">
        <v>39</v>
      </c>
      <c r="D12" s="21">
        <f>858.8*12*4.82</f>
        <v>49672.991999999998</v>
      </c>
      <c r="F12" s="19">
        <v>15.55</v>
      </c>
    </row>
    <row r="13" spans="1:6">
      <c r="A13" s="5"/>
      <c r="B13" s="8" t="s">
        <v>10</v>
      </c>
      <c r="C13" s="13" t="s">
        <v>39</v>
      </c>
      <c r="D13" s="21">
        <f>858.8*12*2.29</f>
        <v>23599.823999999997</v>
      </c>
      <c r="F13" s="19">
        <v>11.46</v>
      </c>
    </row>
    <row r="14" spans="1:6">
      <c r="A14" s="5"/>
      <c r="B14" s="8" t="s">
        <v>11</v>
      </c>
      <c r="C14" s="13" t="s">
        <v>39</v>
      </c>
      <c r="D14" s="21">
        <f>858.8*12*3.4</f>
        <v>35039.039999999994</v>
      </c>
      <c r="F14" s="19">
        <v>13.98</v>
      </c>
    </row>
    <row r="15" spans="1:6">
      <c r="A15" s="5"/>
      <c r="B15" s="8" t="s">
        <v>12</v>
      </c>
      <c r="C15" s="13" t="s">
        <v>39</v>
      </c>
      <c r="D15" s="21">
        <f>858.8*12*2.61</f>
        <v>26897.615999999995</v>
      </c>
      <c r="F15" s="19">
        <v>8.1199999999999992</v>
      </c>
    </row>
    <row r="16" spans="1:6">
      <c r="A16" s="5"/>
      <c r="B16" s="8" t="s">
        <v>13</v>
      </c>
      <c r="C16" s="13" t="s">
        <v>39</v>
      </c>
      <c r="D16" s="21">
        <f>858.8*12*4.64</f>
        <v>47817.983999999989</v>
      </c>
      <c r="F16" s="19">
        <v>18.14</v>
      </c>
    </row>
    <row r="17" spans="1:6">
      <c r="A17" s="5"/>
      <c r="B17" s="8" t="s">
        <v>36</v>
      </c>
      <c r="C17" s="13" t="s">
        <v>39</v>
      </c>
      <c r="D17" s="21">
        <f>858.8*12*0.1</f>
        <v>1030.56</v>
      </c>
      <c r="E17" s="16"/>
      <c r="F17" s="19">
        <v>0.41</v>
      </c>
    </row>
    <row r="18" spans="1:6">
      <c r="A18" s="5"/>
      <c r="B18" s="8" t="s">
        <v>38</v>
      </c>
      <c r="C18" s="13" t="s">
        <v>39</v>
      </c>
      <c r="D18" s="21">
        <f>858.8*12*0.43</f>
        <v>4431.4079999999994</v>
      </c>
      <c r="F18" s="19">
        <v>2.52</v>
      </c>
    </row>
    <row r="19" spans="1:6">
      <c r="A19" s="5"/>
      <c r="B19" s="9" t="s">
        <v>14</v>
      </c>
      <c r="C19" s="13" t="s">
        <v>39</v>
      </c>
      <c r="D19" s="11">
        <f>D18+D17+D16+D15+D14+D13+D12+D11+D10</f>
        <v>233016.75199999998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39</v>
      </c>
      <c r="D20" s="11">
        <f>D6-D19</f>
        <v>-20000</v>
      </c>
    </row>
    <row r="21" spans="1:6">
      <c r="A21" s="5"/>
      <c r="B21" s="24" t="s">
        <v>16</v>
      </c>
      <c r="C21" s="25"/>
      <c r="D21" s="26"/>
    </row>
    <row r="22" spans="1:6">
      <c r="A22" s="5"/>
      <c r="B22" s="6" t="s">
        <v>17</v>
      </c>
      <c r="C22" s="13" t="s">
        <v>39</v>
      </c>
      <c r="D22" s="11"/>
    </row>
    <row r="23" spans="1:6">
      <c r="A23" s="5"/>
      <c r="B23" s="7" t="s">
        <v>29</v>
      </c>
      <c r="C23" s="13" t="s">
        <v>39</v>
      </c>
      <c r="D23" s="12">
        <v>15000</v>
      </c>
    </row>
    <row r="24" spans="1:6">
      <c r="A24" s="5"/>
      <c r="B24" s="6" t="s">
        <v>15</v>
      </c>
      <c r="C24" s="13" t="s">
        <v>39</v>
      </c>
      <c r="D24" s="11">
        <f>D7-D23</f>
        <v>47658.047999999995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>
  <sheetPr>
    <tabColor theme="0"/>
  </sheetPr>
  <dimension ref="A1:F24"/>
  <sheetViews>
    <sheetView topLeftCell="A6" workbookViewId="0">
      <selection activeCell="J24" sqref="J24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266494.20000000007</v>
      </c>
    </row>
    <row r="6" spans="1:6">
      <c r="A6" s="5"/>
      <c r="B6" s="7" t="s">
        <v>4</v>
      </c>
      <c r="C6" s="13" t="s">
        <v>39</v>
      </c>
      <c r="D6" s="12">
        <f>830.2*12*20.67</f>
        <v>205922.80800000005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830.2*6.08*12</f>
        <v>60571.392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8" t="s">
        <v>8</v>
      </c>
      <c r="C10" s="13" t="s">
        <v>39</v>
      </c>
      <c r="D10" s="21">
        <f>830.2*12*2.38</f>
        <v>23710.512000000002</v>
      </c>
      <c r="F10" s="19">
        <v>12.62</v>
      </c>
    </row>
    <row r="11" spans="1:6">
      <c r="A11" s="5"/>
      <c r="B11" s="8" t="s">
        <v>40</v>
      </c>
      <c r="C11" s="13" t="s">
        <v>39</v>
      </c>
      <c r="D11" s="21">
        <v>20000</v>
      </c>
      <c r="F11" s="19"/>
    </row>
    <row r="12" spans="1:6">
      <c r="A12" s="5"/>
      <c r="B12" s="8" t="s">
        <v>9</v>
      </c>
      <c r="C12" s="13" t="s">
        <v>39</v>
      </c>
      <c r="D12" s="21">
        <f>830.2*12*4.82</f>
        <v>48018.768000000011</v>
      </c>
      <c r="F12" s="19">
        <v>15.55</v>
      </c>
    </row>
    <row r="13" spans="1:6">
      <c r="A13" s="5"/>
      <c r="B13" s="8" t="s">
        <v>10</v>
      </c>
      <c r="C13" s="13" t="s">
        <v>39</v>
      </c>
      <c r="D13" s="21">
        <f>830.2*12*2.29</f>
        <v>22813.896000000004</v>
      </c>
      <c r="F13" s="19">
        <v>11.46</v>
      </c>
    </row>
    <row r="14" spans="1:6">
      <c r="A14" s="5"/>
      <c r="B14" s="8" t="s">
        <v>11</v>
      </c>
      <c r="C14" s="13" t="s">
        <v>39</v>
      </c>
      <c r="D14" s="21">
        <f>830.2*12*3.4</f>
        <v>33872.160000000003</v>
      </c>
      <c r="F14" s="19">
        <v>13.98</v>
      </c>
    </row>
    <row r="15" spans="1:6">
      <c r="A15" s="5"/>
      <c r="B15" s="8" t="s">
        <v>12</v>
      </c>
      <c r="C15" s="13" t="s">
        <v>39</v>
      </c>
      <c r="D15" s="21">
        <f>830.2*12*2.61</f>
        <v>26001.864000000001</v>
      </c>
      <c r="F15" s="19">
        <v>8.1199999999999992</v>
      </c>
    </row>
    <row r="16" spans="1:6">
      <c r="A16" s="5"/>
      <c r="B16" s="8" t="s">
        <v>13</v>
      </c>
      <c r="C16" s="13" t="s">
        <v>39</v>
      </c>
      <c r="D16" s="21">
        <f>830.2*12*4.64</f>
        <v>46225.536</v>
      </c>
      <c r="F16" s="19">
        <v>18.14</v>
      </c>
    </row>
    <row r="17" spans="1:6">
      <c r="A17" s="5"/>
      <c r="B17" s="8" t="s">
        <v>36</v>
      </c>
      <c r="C17" s="13" t="s">
        <v>39</v>
      </c>
      <c r="D17" s="21">
        <f>830.2*12*0.1</f>
        <v>996.24000000000024</v>
      </c>
      <c r="E17" s="16"/>
      <c r="F17" s="19">
        <v>0.41</v>
      </c>
    </row>
    <row r="18" spans="1:6">
      <c r="A18" s="5"/>
      <c r="B18" s="8" t="s">
        <v>38</v>
      </c>
      <c r="C18" s="13" t="s">
        <v>39</v>
      </c>
      <c r="D18" s="21">
        <f>830.2*12*0.43</f>
        <v>4283.8320000000003</v>
      </c>
      <c r="F18" s="19">
        <v>2.52</v>
      </c>
    </row>
    <row r="19" spans="1:6">
      <c r="A19" s="5"/>
      <c r="B19" s="9" t="s">
        <v>14</v>
      </c>
      <c r="C19" s="13" t="s">
        <v>39</v>
      </c>
      <c r="D19" s="11">
        <f>D18+D17+D16+D15+D14+D13+D12+D11+D10</f>
        <v>225922.80800000002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39</v>
      </c>
      <c r="D20" s="11">
        <f>D6-D19</f>
        <v>-19999.999999999971</v>
      </c>
    </row>
    <row r="21" spans="1:6">
      <c r="A21" s="5"/>
      <c r="B21" s="24" t="s">
        <v>16</v>
      </c>
      <c r="C21" s="25"/>
      <c r="D21" s="26"/>
    </row>
    <row r="22" spans="1:6">
      <c r="A22" s="5"/>
      <c r="B22" s="6" t="s">
        <v>17</v>
      </c>
      <c r="C22" s="13" t="s">
        <v>39</v>
      </c>
      <c r="D22" s="11"/>
    </row>
    <row r="23" spans="1:6">
      <c r="A23" s="5"/>
      <c r="B23" s="7" t="s">
        <v>29</v>
      </c>
      <c r="C23" s="13" t="s">
        <v>39</v>
      </c>
      <c r="D23" s="12">
        <v>15000</v>
      </c>
    </row>
    <row r="24" spans="1:6">
      <c r="A24" s="5"/>
      <c r="B24" s="6" t="s">
        <v>15</v>
      </c>
      <c r="C24" s="13" t="s">
        <v>39</v>
      </c>
      <c r="D24" s="11">
        <f>D7-D23</f>
        <v>45571.392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>
  <sheetPr>
    <tabColor theme="0"/>
  </sheetPr>
  <dimension ref="A1:F24"/>
  <sheetViews>
    <sheetView topLeftCell="A6" workbookViewId="0">
      <selection activeCell="J35" sqref="J35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67602.600000000006</v>
      </c>
    </row>
    <row r="6" spans="1:6">
      <c r="A6" s="5"/>
      <c r="B6" s="7" t="s">
        <v>4</v>
      </c>
      <c r="C6" s="13" t="s">
        <v>39</v>
      </c>
      <c r="D6" s="12">
        <f>421.2*6*20.67</f>
        <v>52237.224000000002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421.2*6.08*6</f>
        <v>15365.376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8" t="s">
        <v>8</v>
      </c>
      <c r="C10" s="13" t="s">
        <v>39</v>
      </c>
      <c r="D10" s="21">
        <f>421.2*6*2.38</f>
        <v>6014.735999999999</v>
      </c>
      <c r="F10" s="19">
        <v>12.62</v>
      </c>
    </row>
    <row r="11" spans="1:6">
      <c r="A11" s="5"/>
      <c r="B11" s="8" t="s">
        <v>40</v>
      </c>
      <c r="C11" s="13" t="s">
        <v>39</v>
      </c>
      <c r="D11" s="21">
        <v>20000</v>
      </c>
      <c r="F11" s="19"/>
    </row>
    <row r="12" spans="1:6">
      <c r="A12" s="5"/>
      <c r="B12" s="8" t="s">
        <v>9</v>
      </c>
      <c r="C12" s="13" t="s">
        <v>39</v>
      </c>
      <c r="D12" s="21">
        <f>421.2*6*4.82</f>
        <v>12181.103999999999</v>
      </c>
      <c r="F12" s="19">
        <v>15.55</v>
      </c>
    </row>
    <row r="13" spans="1:6">
      <c r="A13" s="5"/>
      <c r="B13" s="8" t="s">
        <v>10</v>
      </c>
      <c r="C13" s="13" t="s">
        <v>39</v>
      </c>
      <c r="D13" s="21">
        <f>421.2*6*2.29</f>
        <v>5787.2879999999996</v>
      </c>
      <c r="F13" s="19">
        <v>11.46</v>
      </c>
    </row>
    <row r="14" spans="1:6">
      <c r="A14" s="5"/>
      <c r="B14" s="8" t="s">
        <v>11</v>
      </c>
      <c r="C14" s="13" t="s">
        <v>39</v>
      </c>
      <c r="D14" s="21">
        <f>421.2*6*3.4</f>
        <v>8592.48</v>
      </c>
      <c r="F14" s="19">
        <v>13.98</v>
      </c>
    </row>
    <row r="15" spans="1:6">
      <c r="A15" s="5"/>
      <c r="B15" s="8" t="s">
        <v>12</v>
      </c>
      <c r="C15" s="13" t="s">
        <v>39</v>
      </c>
      <c r="D15" s="21">
        <f>421.2*6*2.61</f>
        <v>6595.9919999999993</v>
      </c>
      <c r="F15" s="19">
        <v>8.1199999999999992</v>
      </c>
    </row>
    <row r="16" spans="1:6">
      <c r="A16" s="5"/>
      <c r="B16" s="8" t="s">
        <v>13</v>
      </c>
      <c r="C16" s="13" t="s">
        <v>39</v>
      </c>
      <c r="D16" s="21">
        <f>421.2*6*4.64</f>
        <v>11726.207999999999</v>
      </c>
      <c r="F16" s="19">
        <v>18.14</v>
      </c>
    </row>
    <row r="17" spans="1:6">
      <c r="A17" s="5"/>
      <c r="B17" s="8" t="s">
        <v>36</v>
      </c>
      <c r="C17" s="13" t="s">
        <v>39</v>
      </c>
      <c r="D17" s="21">
        <f>421.2*6*0.1</f>
        <v>252.72</v>
      </c>
      <c r="E17" s="16"/>
      <c r="F17" s="19">
        <v>0.41</v>
      </c>
    </row>
    <row r="18" spans="1:6">
      <c r="A18" s="5"/>
      <c r="B18" s="8" t="s">
        <v>38</v>
      </c>
      <c r="C18" s="13" t="s">
        <v>39</v>
      </c>
      <c r="D18" s="21">
        <f>421.2*6*0.43</f>
        <v>1086.6959999999999</v>
      </c>
      <c r="F18" s="19">
        <v>2.52</v>
      </c>
    </row>
    <row r="19" spans="1:6">
      <c r="A19" s="5"/>
      <c r="B19" s="9" t="s">
        <v>14</v>
      </c>
      <c r="C19" s="13" t="s">
        <v>39</v>
      </c>
      <c r="D19" s="11">
        <f>D18+D17+D16+D15+D14+D13+D12+D11+D10</f>
        <v>72237.224000000002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39</v>
      </c>
      <c r="D20" s="11">
        <f>D6-D19</f>
        <v>-20000</v>
      </c>
    </row>
    <row r="21" spans="1:6">
      <c r="A21" s="5"/>
      <c r="B21" s="24" t="s">
        <v>16</v>
      </c>
      <c r="C21" s="25"/>
      <c r="D21" s="26"/>
    </row>
    <row r="22" spans="1:6">
      <c r="A22" s="5"/>
      <c r="B22" s="6" t="s">
        <v>17</v>
      </c>
      <c r="C22" s="13" t="s">
        <v>39</v>
      </c>
      <c r="D22" s="11"/>
    </row>
    <row r="23" spans="1:6">
      <c r="A23" s="5"/>
      <c r="B23" s="7" t="s">
        <v>29</v>
      </c>
      <c r="C23" s="13" t="s">
        <v>39</v>
      </c>
      <c r="D23" s="12">
        <v>10000</v>
      </c>
    </row>
    <row r="24" spans="1:6">
      <c r="A24" s="5"/>
      <c r="B24" s="6" t="s">
        <v>15</v>
      </c>
      <c r="C24" s="13" t="s">
        <v>39</v>
      </c>
      <c r="D24" s="11">
        <f>D7-D23</f>
        <v>5365.3760000000002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>
  <sheetPr>
    <tabColor theme="0"/>
  </sheetPr>
  <dimension ref="A1:F24"/>
  <sheetViews>
    <sheetView topLeftCell="A6" workbookViewId="0">
      <selection activeCell="A73" sqref="A23:XFD73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266622.60000000003</v>
      </c>
    </row>
    <row r="6" spans="1:6">
      <c r="A6" s="5"/>
      <c r="B6" s="7" t="s">
        <v>4</v>
      </c>
      <c r="C6" s="13" t="s">
        <v>39</v>
      </c>
      <c r="D6" s="12">
        <f>830.6*12*20.67</f>
        <v>206022.02400000003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830.6*6.08*12</f>
        <v>60600.576000000001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8" t="s">
        <v>8</v>
      </c>
      <c r="C10" s="13" t="s">
        <v>39</v>
      </c>
      <c r="D10" s="21">
        <f>830.6*12*2.38</f>
        <v>23721.936000000002</v>
      </c>
      <c r="F10" s="19">
        <v>12.62</v>
      </c>
    </row>
    <row r="11" spans="1:6">
      <c r="A11" s="5"/>
      <c r="B11" s="8" t="s">
        <v>40</v>
      </c>
      <c r="C11" s="13" t="s">
        <v>39</v>
      </c>
      <c r="D11" s="21">
        <v>20000</v>
      </c>
      <c r="F11" s="19"/>
    </row>
    <row r="12" spans="1:6">
      <c r="A12" s="5"/>
      <c r="B12" s="8" t="s">
        <v>9</v>
      </c>
      <c r="C12" s="13" t="s">
        <v>39</v>
      </c>
      <c r="D12" s="21">
        <f>830.6*12*4.82</f>
        <v>48041.90400000001</v>
      </c>
      <c r="F12" s="19">
        <v>15.55</v>
      </c>
    </row>
    <row r="13" spans="1:6">
      <c r="A13" s="5"/>
      <c r="B13" s="8" t="s">
        <v>10</v>
      </c>
      <c r="C13" s="13" t="s">
        <v>39</v>
      </c>
      <c r="D13" s="21">
        <f>830.6*12*2.29</f>
        <v>22824.888000000003</v>
      </c>
      <c r="F13" s="19">
        <v>11.46</v>
      </c>
    </row>
    <row r="14" spans="1:6">
      <c r="A14" s="5"/>
      <c r="B14" s="8" t="s">
        <v>11</v>
      </c>
      <c r="C14" s="13" t="s">
        <v>39</v>
      </c>
      <c r="D14" s="21">
        <f>830.6*12*3.4</f>
        <v>33888.480000000003</v>
      </c>
      <c r="F14" s="19">
        <v>13.98</v>
      </c>
    </row>
    <row r="15" spans="1:6">
      <c r="A15" s="5"/>
      <c r="B15" s="8" t="s">
        <v>12</v>
      </c>
      <c r="C15" s="13" t="s">
        <v>39</v>
      </c>
      <c r="D15" s="21">
        <f>830.6*12*2.61</f>
        <v>26014.392</v>
      </c>
      <c r="F15" s="19">
        <v>8.1199999999999992</v>
      </c>
    </row>
    <row r="16" spans="1:6">
      <c r="A16" s="5"/>
      <c r="B16" s="8" t="s">
        <v>13</v>
      </c>
      <c r="C16" s="13" t="s">
        <v>39</v>
      </c>
      <c r="D16" s="21">
        <f>830.6*12*4.64</f>
        <v>46247.807999999997</v>
      </c>
      <c r="F16" s="19">
        <v>18.14</v>
      </c>
    </row>
    <row r="17" spans="1:6">
      <c r="A17" s="5"/>
      <c r="B17" s="8" t="s">
        <v>36</v>
      </c>
      <c r="C17" s="13" t="s">
        <v>39</v>
      </c>
      <c r="D17" s="21">
        <f>830.6*12*0.1</f>
        <v>996.72000000000014</v>
      </c>
      <c r="E17" s="16"/>
      <c r="F17" s="19">
        <v>0.41</v>
      </c>
    </row>
    <row r="18" spans="1:6">
      <c r="A18" s="5"/>
      <c r="B18" s="8" t="s">
        <v>38</v>
      </c>
      <c r="C18" s="13" t="s">
        <v>39</v>
      </c>
      <c r="D18" s="21">
        <f>830.6*12*0.43</f>
        <v>4285.8960000000006</v>
      </c>
      <c r="F18" s="19">
        <v>2.52</v>
      </c>
    </row>
    <row r="19" spans="1:6">
      <c r="A19" s="5"/>
      <c r="B19" s="9" t="s">
        <v>14</v>
      </c>
      <c r="C19" s="13" t="s">
        <v>39</v>
      </c>
      <c r="D19" s="11">
        <f>D18+D17+D16+D15+D14+D13+D12+D11+D10</f>
        <v>226022.02400000003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39</v>
      </c>
      <c r="D20" s="11">
        <f>D6-D19</f>
        <v>-20000</v>
      </c>
    </row>
    <row r="21" spans="1:6">
      <c r="A21" s="5"/>
      <c r="B21" s="24" t="s">
        <v>16</v>
      </c>
      <c r="C21" s="25"/>
      <c r="D21" s="26"/>
    </row>
    <row r="22" spans="1:6">
      <c r="A22" s="5"/>
      <c r="B22" s="6" t="s">
        <v>17</v>
      </c>
      <c r="C22" s="13" t="s">
        <v>39</v>
      </c>
      <c r="D22" s="11"/>
    </row>
    <row r="23" spans="1:6">
      <c r="A23" s="5"/>
      <c r="B23" s="7" t="s">
        <v>29</v>
      </c>
      <c r="C23" s="13" t="s">
        <v>39</v>
      </c>
      <c r="D23" s="12">
        <v>15000</v>
      </c>
    </row>
    <row r="24" spans="1:6">
      <c r="A24" s="5"/>
      <c r="B24" s="6" t="s">
        <v>15</v>
      </c>
      <c r="C24" s="13" t="s">
        <v>39</v>
      </c>
      <c r="D24" s="11">
        <f>D7-D23</f>
        <v>45600.576000000001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>
  <sheetPr>
    <tabColor theme="0"/>
  </sheetPr>
  <dimension ref="A1:F24"/>
  <sheetViews>
    <sheetView topLeftCell="A6" workbookViewId="0">
      <selection activeCell="G32" sqref="G32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67602.600000000006</v>
      </c>
    </row>
    <row r="6" spans="1:6">
      <c r="A6" s="5"/>
      <c r="B6" s="7" t="s">
        <v>4</v>
      </c>
      <c r="C6" s="13" t="s">
        <v>39</v>
      </c>
      <c r="D6" s="12">
        <f>421.2*6*20.67</f>
        <v>52237.224000000002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421.2*6.08*6</f>
        <v>15365.376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8" t="s">
        <v>8</v>
      </c>
      <c r="C10" s="13" t="s">
        <v>39</v>
      </c>
      <c r="D10" s="21">
        <f>421.2*6*2.38</f>
        <v>6014.735999999999</v>
      </c>
      <c r="F10" s="19">
        <v>12.62</v>
      </c>
    </row>
    <row r="11" spans="1:6">
      <c r="A11" s="5"/>
      <c r="B11" s="8" t="s">
        <v>40</v>
      </c>
      <c r="C11" s="13" t="s">
        <v>39</v>
      </c>
      <c r="D11" s="21">
        <v>20000</v>
      </c>
      <c r="F11" s="19"/>
    </row>
    <row r="12" spans="1:6">
      <c r="A12" s="5"/>
      <c r="B12" s="8" t="s">
        <v>9</v>
      </c>
      <c r="C12" s="13" t="s">
        <v>39</v>
      </c>
      <c r="D12" s="21">
        <f>421.2*6*4.82</f>
        <v>12181.103999999999</v>
      </c>
      <c r="F12" s="19">
        <v>15.55</v>
      </c>
    </row>
    <row r="13" spans="1:6">
      <c r="A13" s="5"/>
      <c r="B13" s="8" t="s">
        <v>10</v>
      </c>
      <c r="C13" s="13" t="s">
        <v>39</v>
      </c>
      <c r="D13" s="21">
        <f>421.2*6*2.29</f>
        <v>5787.2879999999996</v>
      </c>
      <c r="F13" s="19">
        <v>11.46</v>
      </c>
    </row>
    <row r="14" spans="1:6">
      <c r="A14" s="5"/>
      <c r="B14" s="8" t="s">
        <v>11</v>
      </c>
      <c r="C14" s="13" t="s">
        <v>39</v>
      </c>
      <c r="D14" s="21">
        <f>421.2*6*3.4</f>
        <v>8592.48</v>
      </c>
      <c r="F14" s="19">
        <v>13.98</v>
      </c>
    </row>
    <row r="15" spans="1:6">
      <c r="A15" s="5"/>
      <c r="B15" s="8" t="s">
        <v>12</v>
      </c>
      <c r="C15" s="13" t="s">
        <v>39</v>
      </c>
      <c r="D15" s="21">
        <f>421.2*6*2.61</f>
        <v>6595.9919999999993</v>
      </c>
      <c r="F15" s="19">
        <v>8.1199999999999992</v>
      </c>
    </row>
    <row r="16" spans="1:6">
      <c r="A16" s="5"/>
      <c r="B16" s="8" t="s">
        <v>13</v>
      </c>
      <c r="C16" s="13" t="s">
        <v>39</v>
      </c>
      <c r="D16" s="21">
        <f>421.2*6*4.64</f>
        <v>11726.207999999999</v>
      </c>
      <c r="F16" s="19">
        <v>18.14</v>
      </c>
    </row>
    <row r="17" spans="1:6">
      <c r="A17" s="5"/>
      <c r="B17" s="8" t="s">
        <v>36</v>
      </c>
      <c r="C17" s="13" t="s">
        <v>39</v>
      </c>
      <c r="D17" s="21">
        <f>421.2*6*0.1</f>
        <v>252.72</v>
      </c>
      <c r="E17" s="16"/>
      <c r="F17" s="19">
        <v>0.41</v>
      </c>
    </row>
    <row r="18" spans="1:6">
      <c r="A18" s="5"/>
      <c r="B18" s="8" t="s">
        <v>38</v>
      </c>
      <c r="C18" s="13" t="s">
        <v>39</v>
      </c>
      <c r="D18" s="21">
        <f>421.2*6*0.43</f>
        <v>1086.6959999999999</v>
      </c>
      <c r="F18" s="19">
        <v>2.52</v>
      </c>
    </row>
    <row r="19" spans="1:6">
      <c r="A19" s="5"/>
      <c r="B19" s="9" t="s">
        <v>14</v>
      </c>
      <c r="C19" s="13" t="s">
        <v>39</v>
      </c>
      <c r="D19" s="11">
        <f>D18+D17+D16+D15+D14+D13+D12+D11+D10</f>
        <v>72237.224000000002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39</v>
      </c>
      <c r="D20" s="11">
        <f>D6-D19</f>
        <v>-20000</v>
      </c>
    </row>
    <row r="21" spans="1:6">
      <c r="A21" s="5"/>
      <c r="B21" s="24" t="s">
        <v>16</v>
      </c>
      <c r="C21" s="25"/>
      <c r="D21" s="26"/>
    </row>
    <row r="22" spans="1:6">
      <c r="A22" s="5"/>
      <c r="B22" s="6" t="s">
        <v>17</v>
      </c>
      <c r="C22" s="13" t="s">
        <v>39</v>
      </c>
      <c r="D22" s="11"/>
    </row>
    <row r="23" spans="1:6">
      <c r="A23" s="5"/>
      <c r="B23" s="7" t="s">
        <v>29</v>
      </c>
      <c r="C23" s="13" t="s">
        <v>39</v>
      </c>
      <c r="D23" s="12">
        <v>10000</v>
      </c>
    </row>
    <row r="24" spans="1:6">
      <c r="A24" s="5"/>
      <c r="B24" s="6" t="s">
        <v>15</v>
      </c>
      <c r="C24" s="13" t="s">
        <v>39</v>
      </c>
      <c r="D24" s="11">
        <f>D7-D23</f>
        <v>5365.3760000000002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>
  <sheetPr>
    <tabColor theme="0"/>
  </sheetPr>
  <dimension ref="A1:F24"/>
  <sheetViews>
    <sheetView topLeftCell="A6" workbookViewId="0">
      <selection activeCell="A73" sqref="A23:XFD73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132701.4</v>
      </c>
    </row>
    <row r="6" spans="1:6">
      <c r="A6" s="5"/>
      <c r="B6" s="7" t="s">
        <v>4</v>
      </c>
      <c r="C6" s="13" t="s">
        <v>39</v>
      </c>
      <c r="D6" s="12">
        <f>826.8*6*20.67</f>
        <v>102539.73599999999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826.8*6.08*6</f>
        <v>30161.663999999997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8" t="s">
        <v>8</v>
      </c>
      <c r="C10" s="13" t="s">
        <v>39</v>
      </c>
      <c r="D10" s="21">
        <f>826.8*6*2.38</f>
        <v>11806.703999999998</v>
      </c>
      <c r="F10" s="19">
        <v>12.62</v>
      </c>
    </row>
    <row r="11" spans="1:6">
      <c r="A11" s="5"/>
      <c r="B11" s="8" t="s">
        <v>40</v>
      </c>
      <c r="C11" s="13" t="s">
        <v>39</v>
      </c>
      <c r="D11" s="21">
        <v>20000</v>
      </c>
      <c r="F11" s="19"/>
    </row>
    <row r="12" spans="1:6">
      <c r="A12" s="5"/>
      <c r="B12" s="8" t="s">
        <v>9</v>
      </c>
      <c r="C12" s="13" t="s">
        <v>39</v>
      </c>
      <c r="D12" s="21">
        <f>826.8*6*4.82</f>
        <v>23911.055999999997</v>
      </c>
      <c r="F12" s="19">
        <v>15.55</v>
      </c>
    </row>
    <row r="13" spans="1:6">
      <c r="A13" s="5"/>
      <c r="B13" s="8" t="s">
        <v>10</v>
      </c>
      <c r="C13" s="13" t="s">
        <v>39</v>
      </c>
      <c r="D13" s="21">
        <f>826.8*6*2.29</f>
        <v>11360.231999999998</v>
      </c>
      <c r="F13" s="19">
        <v>11.46</v>
      </c>
    </row>
    <row r="14" spans="1:6">
      <c r="A14" s="5"/>
      <c r="B14" s="8" t="s">
        <v>11</v>
      </c>
      <c r="C14" s="13" t="s">
        <v>39</v>
      </c>
      <c r="D14" s="21">
        <f>826.8*6*3.4</f>
        <v>16866.719999999998</v>
      </c>
      <c r="F14" s="19">
        <v>13.98</v>
      </c>
    </row>
    <row r="15" spans="1:6">
      <c r="A15" s="5"/>
      <c r="B15" s="8" t="s">
        <v>12</v>
      </c>
      <c r="C15" s="13" t="s">
        <v>39</v>
      </c>
      <c r="D15" s="21">
        <f>826.8*6*2.61</f>
        <v>12947.687999999998</v>
      </c>
      <c r="F15" s="19">
        <v>8.1199999999999992</v>
      </c>
    </row>
    <row r="16" spans="1:6">
      <c r="A16" s="5"/>
      <c r="B16" s="8" t="s">
        <v>13</v>
      </c>
      <c r="C16" s="13" t="s">
        <v>39</v>
      </c>
      <c r="D16" s="21">
        <f>826.8*6*4.64</f>
        <v>23018.111999999994</v>
      </c>
      <c r="F16" s="19">
        <v>18.14</v>
      </c>
    </row>
    <row r="17" spans="1:6">
      <c r="A17" s="5"/>
      <c r="B17" s="8" t="s">
        <v>36</v>
      </c>
      <c r="C17" s="13" t="s">
        <v>39</v>
      </c>
      <c r="D17" s="21">
        <f>826.8*6*0.1</f>
        <v>496.07999999999993</v>
      </c>
      <c r="E17" s="16"/>
      <c r="F17" s="19">
        <v>0.41</v>
      </c>
    </row>
    <row r="18" spans="1:6">
      <c r="A18" s="5"/>
      <c r="B18" s="8" t="s">
        <v>38</v>
      </c>
      <c r="C18" s="13" t="s">
        <v>39</v>
      </c>
      <c r="D18" s="21">
        <f>826.8*6*0.43</f>
        <v>2133.1439999999998</v>
      </c>
      <c r="F18" s="19">
        <v>2.52</v>
      </c>
    </row>
    <row r="19" spans="1:6">
      <c r="A19" s="5"/>
      <c r="B19" s="9" t="s">
        <v>14</v>
      </c>
      <c r="C19" s="13" t="s">
        <v>39</v>
      </c>
      <c r="D19" s="11">
        <f>D18+D17+D16+D15+D14+D13+D12+D11+D10</f>
        <v>122539.73599999999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39</v>
      </c>
      <c r="D20" s="11">
        <f>D6-D19</f>
        <v>-20000</v>
      </c>
    </row>
    <row r="21" spans="1:6">
      <c r="A21" s="5"/>
      <c r="B21" s="24" t="s">
        <v>16</v>
      </c>
      <c r="C21" s="25"/>
      <c r="D21" s="26"/>
    </row>
    <row r="22" spans="1:6">
      <c r="A22" s="5"/>
      <c r="B22" s="6" t="s">
        <v>17</v>
      </c>
      <c r="C22" s="13" t="s">
        <v>39</v>
      </c>
      <c r="D22" s="11"/>
    </row>
    <row r="23" spans="1:6">
      <c r="A23" s="5"/>
      <c r="B23" s="7" t="s">
        <v>29</v>
      </c>
      <c r="C23" s="13" t="s">
        <v>39</v>
      </c>
      <c r="D23" s="12">
        <v>15000</v>
      </c>
    </row>
    <row r="24" spans="1:6">
      <c r="A24" s="5"/>
      <c r="B24" s="6" t="s">
        <v>15</v>
      </c>
      <c r="C24" s="13" t="s">
        <v>39</v>
      </c>
      <c r="D24" s="11">
        <f>D7-D23</f>
        <v>15161.663999999997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>
  <sheetPr>
    <tabColor theme="0"/>
  </sheetPr>
  <dimension ref="A1:F24"/>
  <sheetViews>
    <sheetView topLeftCell="A6" workbookViewId="0">
      <selection activeCell="A73" sqref="A23:XFD73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200544.75000000003</v>
      </c>
    </row>
    <row r="6" spans="1:6">
      <c r="A6" s="5"/>
      <c r="B6" s="7" t="s">
        <v>4</v>
      </c>
      <c r="C6" s="13" t="s">
        <v>39</v>
      </c>
      <c r="D6" s="12">
        <f>1249.5*6*20.67</f>
        <v>154962.99000000002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1249.5*6.08*6</f>
        <v>45581.760000000002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8" t="s">
        <v>8</v>
      </c>
      <c r="C10" s="13" t="s">
        <v>39</v>
      </c>
      <c r="D10" s="21">
        <f>1249.5*6*2.38</f>
        <v>17842.86</v>
      </c>
      <c r="F10" s="19">
        <v>12.62</v>
      </c>
    </row>
    <row r="11" spans="1:6">
      <c r="A11" s="5"/>
      <c r="B11" s="8" t="s">
        <v>40</v>
      </c>
      <c r="C11" s="13" t="s">
        <v>39</v>
      </c>
      <c r="D11" s="21">
        <v>20000</v>
      </c>
      <c r="F11" s="19"/>
    </row>
    <row r="12" spans="1:6">
      <c r="A12" s="5"/>
      <c r="B12" s="8" t="s">
        <v>9</v>
      </c>
      <c r="C12" s="13" t="s">
        <v>39</v>
      </c>
      <c r="D12" s="21">
        <f>1249.5*6*4.82</f>
        <v>36135.54</v>
      </c>
      <c r="F12" s="19">
        <v>15.55</v>
      </c>
    </row>
    <row r="13" spans="1:6">
      <c r="A13" s="5"/>
      <c r="B13" s="8" t="s">
        <v>10</v>
      </c>
      <c r="C13" s="13" t="s">
        <v>39</v>
      </c>
      <c r="D13" s="21">
        <f>1249.5*6*2.29</f>
        <v>17168.13</v>
      </c>
      <c r="F13" s="19">
        <v>11.46</v>
      </c>
    </row>
    <row r="14" spans="1:6">
      <c r="A14" s="5"/>
      <c r="B14" s="8" t="s">
        <v>11</v>
      </c>
      <c r="C14" s="13" t="s">
        <v>39</v>
      </c>
      <c r="D14" s="21">
        <f>1249.5*6*3.4</f>
        <v>25489.8</v>
      </c>
      <c r="F14" s="19">
        <v>13.98</v>
      </c>
    </row>
    <row r="15" spans="1:6">
      <c r="A15" s="5"/>
      <c r="B15" s="8" t="s">
        <v>12</v>
      </c>
      <c r="C15" s="13" t="s">
        <v>39</v>
      </c>
      <c r="D15" s="21">
        <f>1249.5*6*2.61</f>
        <v>19567.169999999998</v>
      </c>
      <c r="F15" s="19">
        <v>8.1199999999999992</v>
      </c>
    </row>
    <row r="16" spans="1:6">
      <c r="A16" s="5"/>
      <c r="B16" s="8" t="s">
        <v>13</v>
      </c>
      <c r="C16" s="13" t="s">
        <v>39</v>
      </c>
      <c r="D16" s="21">
        <f>1249.5*6*4.64</f>
        <v>34786.079999999994</v>
      </c>
      <c r="F16" s="19">
        <v>18.14</v>
      </c>
    </row>
    <row r="17" spans="1:6">
      <c r="A17" s="5"/>
      <c r="B17" s="8" t="s">
        <v>36</v>
      </c>
      <c r="C17" s="13" t="s">
        <v>39</v>
      </c>
      <c r="D17" s="21">
        <f>1249.5*6*0.1</f>
        <v>749.7</v>
      </c>
      <c r="E17" s="16"/>
      <c r="F17" s="19">
        <v>0.41</v>
      </c>
    </row>
    <row r="18" spans="1:6">
      <c r="A18" s="5"/>
      <c r="B18" s="8" t="s">
        <v>38</v>
      </c>
      <c r="C18" s="13" t="s">
        <v>39</v>
      </c>
      <c r="D18" s="21">
        <f>1249.5*6*0.43</f>
        <v>3223.71</v>
      </c>
      <c r="F18" s="19">
        <v>2.52</v>
      </c>
    </row>
    <row r="19" spans="1:6">
      <c r="A19" s="5"/>
      <c r="B19" s="9" t="s">
        <v>14</v>
      </c>
      <c r="C19" s="13" t="s">
        <v>39</v>
      </c>
      <c r="D19" s="11">
        <f>D18+D17+D16+D15+D14+D13+D12+D11+D10</f>
        <v>174962.99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39</v>
      </c>
      <c r="D20" s="11">
        <f>D6-D19</f>
        <v>-19999.999999999971</v>
      </c>
    </row>
    <row r="21" spans="1:6">
      <c r="A21" s="5"/>
      <c r="B21" s="24" t="s">
        <v>16</v>
      </c>
      <c r="C21" s="25"/>
      <c r="D21" s="26"/>
    </row>
    <row r="22" spans="1:6">
      <c r="A22" s="5"/>
      <c r="B22" s="6" t="s">
        <v>17</v>
      </c>
      <c r="C22" s="13" t="s">
        <v>39</v>
      </c>
      <c r="D22" s="11"/>
    </row>
    <row r="23" spans="1:6">
      <c r="A23" s="5"/>
      <c r="B23" s="7" t="s">
        <v>29</v>
      </c>
      <c r="C23" s="13" t="s">
        <v>39</v>
      </c>
      <c r="D23" s="12">
        <v>15000</v>
      </c>
    </row>
    <row r="24" spans="1:6">
      <c r="A24" s="5"/>
      <c r="B24" s="6" t="s">
        <v>15</v>
      </c>
      <c r="C24" s="13" t="s">
        <v>39</v>
      </c>
      <c r="D24" s="11">
        <f>D7-D23</f>
        <v>30581.760000000002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1:F30"/>
  <sheetViews>
    <sheetView topLeftCell="A19" workbookViewId="0">
      <selection activeCell="E39" sqref="E39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195781.44</v>
      </c>
    </row>
    <row r="6" spans="1:6">
      <c r="A6" s="5"/>
      <c r="B6" s="7" t="s">
        <v>4</v>
      </c>
      <c r="C6" s="13" t="s">
        <v>39</v>
      </c>
      <c r="D6" s="12">
        <f>872*12*14.66</f>
        <v>153402.23999999999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872*4.05*12</f>
        <v>42379.199999999997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872*12*0.29</f>
        <v>3034.56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872*12*2.23</f>
        <v>23334.720000000001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872*12*1.85</f>
        <v>19358.400000000001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872*12*2.28</f>
        <v>23857.919999999998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872*12*1.68</f>
        <v>17579.52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872*12*2.05</f>
        <v>21451.199999999997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872*12*1.19</f>
        <v>12452.16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872*12*2.66</f>
        <v>27834.240000000002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872*12*0.06</f>
        <v>627.84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872*12*0.37</f>
        <v>3871.68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173402.23999999999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-20000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18</v>
      </c>
      <c r="C25" s="13" t="s">
        <v>39</v>
      </c>
      <c r="D25" s="12">
        <v>4500</v>
      </c>
    </row>
    <row r="26" spans="1:6">
      <c r="A26" s="5"/>
      <c r="B26" s="7" t="s">
        <v>21</v>
      </c>
      <c r="C26" s="13" t="s">
        <v>39</v>
      </c>
      <c r="D26" s="12">
        <v>26000</v>
      </c>
    </row>
    <row r="27" spans="1:6">
      <c r="A27" s="5"/>
      <c r="B27" s="7" t="s">
        <v>22</v>
      </c>
      <c r="C27" s="13" t="s">
        <v>39</v>
      </c>
      <c r="D27" s="12">
        <v>500</v>
      </c>
    </row>
    <row r="28" spans="1:6">
      <c r="A28" s="5"/>
      <c r="B28" s="7" t="s">
        <v>29</v>
      </c>
      <c r="C28" s="13" t="s">
        <v>39</v>
      </c>
      <c r="D28" s="12">
        <v>15000</v>
      </c>
    </row>
    <row r="29" spans="1:6">
      <c r="A29" s="5"/>
      <c r="B29" s="7" t="s">
        <v>31</v>
      </c>
      <c r="C29" s="13" t="s">
        <v>39</v>
      </c>
      <c r="D29" s="12">
        <v>5000</v>
      </c>
    </row>
    <row r="30" spans="1:6">
      <c r="A30" s="5"/>
      <c r="B30" s="6" t="s">
        <v>15</v>
      </c>
      <c r="C30" s="13" t="s">
        <v>39</v>
      </c>
      <c r="D30" s="11">
        <f>D7-D26-D29-D28-D27-D25</f>
        <v>-8620.8000000000029</v>
      </c>
    </row>
  </sheetData>
  <mergeCells count="3">
    <mergeCell ref="B23:D23"/>
    <mergeCell ref="A2:D2"/>
    <mergeCell ref="B9:D9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>
  <sheetPr>
    <tabColor theme="0"/>
  </sheetPr>
  <dimension ref="A1:F24"/>
  <sheetViews>
    <sheetView topLeftCell="A6" workbookViewId="0">
      <selection activeCell="A24" sqref="A24:XFD38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131850.75</v>
      </c>
    </row>
    <row r="6" spans="1:6">
      <c r="A6" s="5"/>
      <c r="B6" s="7" t="s">
        <v>4</v>
      </c>
      <c r="C6" s="13" t="s">
        <v>39</v>
      </c>
      <c r="D6" s="12">
        <f>821.5*6*20.67</f>
        <v>101882.43000000001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821.5*6.08*6</f>
        <v>29968.32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8" t="s">
        <v>8</v>
      </c>
      <c r="C10" s="13" t="s">
        <v>39</v>
      </c>
      <c r="D10" s="21">
        <f>821.5*6*2.38</f>
        <v>11731.019999999999</v>
      </c>
      <c r="F10" s="19">
        <v>12.62</v>
      </c>
    </row>
    <row r="11" spans="1:6">
      <c r="A11" s="5"/>
      <c r="B11" s="8" t="s">
        <v>40</v>
      </c>
      <c r="C11" s="13" t="s">
        <v>39</v>
      </c>
      <c r="D11" s="21">
        <v>20000</v>
      </c>
      <c r="F11" s="19"/>
    </row>
    <row r="12" spans="1:6">
      <c r="A12" s="5"/>
      <c r="B12" s="8" t="s">
        <v>9</v>
      </c>
      <c r="C12" s="13" t="s">
        <v>39</v>
      </c>
      <c r="D12" s="21">
        <f>821.5*6*4.82</f>
        <v>23757.780000000002</v>
      </c>
      <c r="F12" s="19">
        <v>15.55</v>
      </c>
    </row>
    <row r="13" spans="1:6">
      <c r="A13" s="5"/>
      <c r="B13" s="8" t="s">
        <v>10</v>
      </c>
      <c r="C13" s="13" t="s">
        <v>39</v>
      </c>
      <c r="D13" s="21">
        <f>821.5*6*2.29</f>
        <v>11287.41</v>
      </c>
      <c r="F13" s="19">
        <v>11.46</v>
      </c>
    </row>
    <row r="14" spans="1:6">
      <c r="A14" s="5"/>
      <c r="B14" s="8" t="s">
        <v>11</v>
      </c>
      <c r="C14" s="13" t="s">
        <v>39</v>
      </c>
      <c r="D14" s="21">
        <f>821.5*6*3.4</f>
        <v>16758.599999999999</v>
      </c>
      <c r="F14" s="19">
        <v>13.98</v>
      </c>
    </row>
    <row r="15" spans="1:6">
      <c r="A15" s="5"/>
      <c r="B15" s="8" t="s">
        <v>12</v>
      </c>
      <c r="C15" s="13" t="s">
        <v>39</v>
      </c>
      <c r="D15" s="21">
        <f>821.5*6*2.61</f>
        <v>12864.689999999999</v>
      </c>
      <c r="F15" s="19">
        <v>8.1199999999999992</v>
      </c>
    </row>
    <row r="16" spans="1:6">
      <c r="A16" s="5"/>
      <c r="B16" s="8" t="s">
        <v>13</v>
      </c>
      <c r="C16" s="13" t="s">
        <v>39</v>
      </c>
      <c r="D16" s="21">
        <f>821.5*6*4.64</f>
        <v>22870.559999999998</v>
      </c>
      <c r="F16" s="19">
        <v>18.14</v>
      </c>
    </row>
    <row r="17" spans="1:6">
      <c r="A17" s="5"/>
      <c r="B17" s="8" t="s">
        <v>36</v>
      </c>
      <c r="C17" s="13" t="s">
        <v>39</v>
      </c>
      <c r="D17" s="21">
        <f>821.5*6*0.1</f>
        <v>492.90000000000003</v>
      </c>
      <c r="E17" s="16"/>
      <c r="F17" s="19">
        <v>0.41</v>
      </c>
    </row>
    <row r="18" spans="1:6">
      <c r="A18" s="5"/>
      <c r="B18" s="8" t="s">
        <v>38</v>
      </c>
      <c r="C18" s="13" t="s">
        <v>39</v>
      </c>
      <c r="D18" s="21">
        <f>821.5*6*0.43</f>
        <v>2119.4699999999998</v>
      </c>
      <c r="F18" s="19">
        <v>2.52</v>
      </c>
    </row>
    <row r="19" spans="1:6">
      <c r="A19" s="5"/>
      <c r="B19" s="9" t="s">
        <v>14</v>
      </c>
      <c r="C19" s="13" t="s">
        <v>39</v>
      </c>
      <c r="D19" s="11">
        <f>D18+D17+D16+D15+D14+D13+D12+D11+D10</f>
        <v>121882.43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39</v>
      </c>
      <c r="D20" s="11">
        <f>D6-D19</f>
        <v>-19999.999999999985</v>
      </c>
    </row>
    <row r="21" spans="1:6">
      <c r="A21" s="5"/>
      <c r="B21" s="24" t="s">
        <v>16</v>
      </c>
      <c r="C21" s="25"/>
      <c r="D21" s="26"/>
    </row>
    <row r="22" spans="1:6">
      <c r="A22" s="5"/>
      <c r="B22" s="6" t="s">
        <v>17</v>
      </c>
      <c r="C22" s="13" t="s">
        <v>39</v>
      </c>
      <c r="D22" s="11"/>
    </row>
    <row r="23" spans="1:6">
      <c r="A23" s="5"/>
      <c r="B23" s="7" t="s">
        <v>29</v>
      </c>
      <c r="C23" s="13" t="s">
        <v>39</v>
      </c>
      <c r="D23" s="12">
        <v>15000</v>
      </c>
    </row>
    <row r="24" spans="1:6">
      <c r="A24" s="5"/>
      <c r="B24" s="6" t="s">
        <v>15</v>
      </c>
      <c r="C24" s="13" t="s">
        <v>39</v>
      </c>
      <c r="D24" s="11">
        <f>D7-D23</f>
        <v>14968.32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>
  <sheetPr>
    <tabColor theme="0"/>
  </sheetPr>
  <dimension ref="A1:F24"/>
  <sheetViews>
    <sheetView topLeftCell="A6" workbookViewId="0">
      <selection activeCell="A24" sqref="A24:XFD38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132701.4</v>
      </c>
    </row>
    <row r="6" spans="1:6">
      <c r="A6" s="5"/>
      <c r="B6" s="7" t="s">
        <v>4</v>
      </c>
      <c r="C6" s="13" t="s">
        <v>39</v>
      </c>
      <c r="D6" s="12">
        <f>826.8*6*20.67</f>
        <v>102539.73599999999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826.8*6.08*6</f>
        <v>30161.663999999997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8" t="s">
        <v>8</v>
      </c>
      <c r="C10" s="13" t="s">
        <v>39</v>
      </c>
      <c r="D10" s="21">
        <f>826.8*6*2.38</f>
        <v>11806.703999999998</v>
      </c>
      <c r="F10" s="19">
        <v>12.62</v>
      </c>
    </row>
    <row r="11" spans="1:6">
      <c r="A11" s="5"/>
      <c r="B11" s="8" t="s">
        <v>40</v>
      </c>
      <c r="C11" s="13" t="s">
        <v>39</v>
      </c>
      <c r="D11" s="21">
        <v>20000</v>
      </c>
      <c r="F11" s="19"/>
    </row>
    <row r="12" spans="1:6">
      <c r="A12" s="5"/>
      <c r="B12" s="8" t="s">
        <v>9</v>
      </c>
      <c r="C12" s="13" t="s">
        <v>39</v>
      </c>
      <c r="D12" s="21">
        <f>826.8*6*4.82</f>
        <v>23911.055999999997</v>
      </c>
      <c r="F12" s="19">
        <v>15.55</v>
      </c>
    </row>
    <row r="13" spans="1:6">
      <c r="A13" s="5"/>
      <c r="B13" s="8" t="s">
        <v>10</v>
      </c>
      <c r="C13" s="13" t="s">
        <v>39</v>
      </c>
      <c r="D13" s="21">
        <f>826.8*6*2.29</f>
        <v>11360.231999999998</v>
      </c>
      <c r="F13" s="19">
        <v>11.46</v>
      </c>
    </row>
    <row r="14" spans="1:6">
      <c r="A14" s="5"/>
      <c r="B14" s="8" t="s">
        <v>11</v>
      </c>
      <c r="C14" s="13" t="s">
        <v>39</v>
      </c>
      <c r="D14" s="21">
        <f>826.8*6*3.4</f>
        <v>16866.719999999998</v>
      </c>
      <c r="F14" s="19">
        <v>13.98</v>
      </c>
    </row>
    <row r="15" spans="1:6">
      <c r="A15" s="5"/>
      <c r="B15" s="8" t="s">
        <v>12</v>
      </c>
      <c r="C15" s="13" t="s">
        <v>39</v>
      </c>
      <c r="D15" s="21">
        <f>826.8*6*2.61</f>
        <v>12947.687999999998</v>
      </c>
      <c r="F15" s="19">
        <v>8.1199999999999992</v>
      </c>
    </row>
    <row r="16" spans="1:6">
      <c r="A16" s="5"/>
      <c r="B16" s="8" t="s">
        <v>13</v>
      </c>
      <c r="C16" s="13" t="s">
        <v>39</v>
      </c>
      <c r="D16" s="21">
        <f>826.8*6*4.64</f>
        <v>23018.111999999994</v>
      </c>
      <c r="F16" s="19">
        <v>18.14</v>
      </c>
    </row>
    <row r="17" spans="1:6">
      <c r="A17" s="5"/>
      <c r="B17" s="8" t="s">
        <v>36</v>
      </c>
      <c r="C17" s="13" t="s">
        <v>39</v>
      </c>
      <c r="D17" s="21">
        <f>826.8*6*0.1</f>
        <v>496.07999999999993</v>
      </c>
      <c r="E17" s="16"/>
      <c r="F17" s="19">
        <v>0.41</v>
      </c>
    </row>
    <row r="18" spans="1:6">
      <c r="A18" s="5"/>
      <c r="B18" s="8" t="s">
        <v>38</v>
      </c>
      <c r="C18" s="13" t="s">
        <v>39</v>
      </c>
      <c r="D18" s="21">
        <f>826.8*6*0.43</f>
        <v>2133.1439999999998</v>
      </c>
      <c r="F18" s="19">
        <v>2.52</v>
      </c>
    </row>
    <row r="19" spans="1:6">
      <c r="A19" s="5"/>
      <c r="B19" s="9" t="s">
        <v>14</v>
      </c>
      <c r="C19" s="13" t="s">
        <v>39</v>
      </c>
      <c r="D19" s="11">
        <f>D18+D17+D16+D15+D14+D13+D12+D11+D10</f>
        <v>122539.73599999999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39</v>
      </c>
      <c r="D20" s="11">
        <f>D6-D19</f>
        <v>-20000</v>
      </c>
    </row>
    <row r="21" spans="1:6">
      <c r="A21" s="5"/>
      <c r="B21" s="24" t="s">
        <v>16</v>
      </c>
      <c r="C21" s="25"/>
      <c r="D21" s="26"/>
    </row>
    <row r="22" spans="1:6">
      <c r="A22" s="5"/>
      <c r="B22" s="6" t="s">
        <v>17</v>
      </c>
      <c r="C22" s="13" t="s">
        <v>39</v>
      </c>
      <c r="D22" s="11"/>
    </row>
    <row r="23" spans="1:6">
      <c r="A23" s="5"/>
      <c r="B23" s="7" t="s">
        <v>29</v>
      </c>
      <c r="C23" s="13" t="s">
        <v>39</v>
      </c>
      <c r="D23" s="12">
        <v>15000</v>
      </c>
    </row>
    <row r="24" spans="1:6">
      <c r="A24" s="5"/>
      <c r="B24" s="6" t="s">
        <v>15</v>
      </c>
      <c r="C24" s="13" t="s">
        <v>39</v>
      </c>
      <c r="D24" s="11">
        <f>D7-D23</f>
        <v>15161.663999999997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>
  <sheetPr>
    <tabColor theme="0"/>
  </sheetPr>
  <dimension ref="A1:F24"/>
  <sheetViews>
    <sheetView topLeftCell="A6" workbookViewId="0">
      <selection activeCell="A73" sqref="A23:XFD73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132123.60000000003</v>
      </c>
    </row>
    <row r="6" spans="1:6">
      <c r="A6" s="5"/>
      <c r="B6" s="7" t="s">
        <v>4</v>
      </c>
      <c r="C6" s="13" t="s">
        <v>39</v>
      </c>
      <c r="D6" s="12">
        <f>823.2*6*20.67</f>
        <v>102093.26400000002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823.2*6.08*6</f>
        <v>30030.336000000003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8" t="s">
        <v>8</v>
      </c>
      <c r="C10" s="13" t="s">
        <v>39</v>
      </c>
      <c r="D10" s="21">
        <f>823.2*6*2.38</f>
        <v>11755.296000000002</v>
      </c>
      <c r="F10" s="19">
        <v>12.62</v>
      </c>
    </row>
    <row r="11" spans="1:6">
      <c r="A11" s="5"/>
      <c r="B11" s="8" t="s">
        <v>40</v>
      </c>
      <c r="C11" s="13" t="s">
        <v>39</v>
      </c>
      <c r="D11" s="21">
        <v>20000</v>
      </c>
      <c r="F11" s="19"/>
    </row>
    <row r="12" spans="1:6">
      <c r="A12" s="5"/>
      <c r="B12" s="8" t="s">
        <v>9</v>
      </c>
      <c r="C12" s="13" t="s">
        <v>39</v>
      </c>
      <c r="D12" s="21">
        <f>823.2*6*4.82</f>
        <v>23806.944000000003</v>
      </c>
      <c r="F12" s="19">
        <v>15.55</v>
      </c>
    </row>
    <row r="13" spans="1:6">
      <c r="A13" s="5"/>
      <c r="B13" s="8" t="s">
        <v>10</v>
      </c>
      <c r="C13" s="13" t="s">
        <v>39</v>
      </c>
      <c r="D13" s="21">
        <f>823.2*6*2.29</f>
        <v>11310.768000000002</v>
      </c>
      <c r="F13" s="19">
        <v>11.46</v>
      </c>
    </row>
    <row r="14" spans="1:6">
      <c r="A14" s="5"/>
      <c r="B14" s="8" t="s">
        <v>11</v>
      </c>
      <c r="C14" s="13" t="s">
        <v>39</v>
      </c>
      <c r="D14" s="21">
        <f>823.2*6*3.4</f>
        <v>16793.280000000002</v>
      </c>
      <c r="F14" s="19">
        <v>13.98</v>
      </c>
    </row>
    <row r="15" spans="1:6">
      <c r="A15" s="5"/>
      <c r="B15" s="8" t="s">
        <v>12</v>
      </c>
      <c r="C15" s="13" t="s">
        <v>39</v>
      </c>
      <c r="D15" s="21">
        <f>823.2*6*2.61</f>
        <v>12891.312000000002</v>
      </c>
      <c r="F15" s="19">
        <v>8.1199999999999992</v>
      </c>
    </row>
    <row r="16" spans="1:6">
      <c r="A16" s="5"/>
      <c r="B16" s="8" t="s">
        <v>13</v>
      </c>
      <c r="C16" s="13" t="s">
        <v>39</v>
      </c>
      <c r="D16" s="21">
        <f>823.2*6*4.64</f>
        <v>22917.888000000003</v>
      </c>
      <c r="F16" s="19">
        <v>18.14</v>
      </c>
    </row>
    <row r="17" spans="1:6">
      <c r="A17" s="5"/>
      <c r="B17" s="8" t="s">
        <v>36</v>
      </c>
      <c r="C17" s="13" t="s">
        <v>39</v>
      </c>
      <c r="D17" s="21">
        <f>823.2*6*0.1</f>
        <v>493.92000000000007</v>
      </c>
      <c r="E17" s="16"/>
      <c r="F17" s="19">
        <v>0.41</v>
      </c>
    </row>
    <row r="18" spans="1:6">
      <c r="A18" s="5"/>
      <c r="B18" s="8" t="s">
        <v>38</v>
      </c>
      <c r="C18" s="13" t="s">
        <v>39</v>
      </c>
      <c r="D18" s="21">
        <f>823.2*6*0.43</f>
        <v>2123.8560000000002</v>
      </c>
      <c r="F18" s="19">
        <v>2.52</v>
      </c>
    </row>
    <row r="19" spans="1:6">
      <c r="A19" s="5"/>
      <c r="B19" s="9" t="s">
        <v>14</v>
      </c>
      <c r="C19" s="13" t="s">
        <v>39</v>
      </c>
      <c r="D19" s="11">
        <f>D18+D17+D16+D15+D14+D13+D12+D11+D10</f>
        <v>122093.26400000001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39</v>
      </c>
      <c r="D20" s="11">
        <f>D6-D19</f>
        <v>-19999.999999999985</v>
      </c>
    </row>
    <row r="21" spans="1:6">
      <c r="A21" s="5"/>
      <c r="B21" s="24" t="s">
        <v>16</v>
      </c>
      <c r="C21" s="25"/>
      <c r="D21" s="26"/>
    </row>
    <row r="22" spans="1:6">
      <c r="A22" s="5"/>
      <c r="B22" s="6" t="s">
        <v>17</v>
      </c>
      <c r="C22" s="13" t="s">
        <v>39</v>
      </c>
      <c r="D22" s="11"/>
    </row>
    <row r="23" spans="1:6">
      <c r="A23" s="5"/>
      <c r="B23" s="7" t="s">
        <v>29</v>
      </c>
      <c r="C23" s="13" t="s">
        <v>39</v>
      </c>
      <c r="D23" s="12">
        <v>15000</v>
      </c>
    </row>
    <row r="24" spans="1:6">
      <c r="A24" s="5"/>
      <c r="B24" s="6" t="s">
        <v>15</v>
      </c>
      <c r="C24" s="13" t="s">
        <v>39</v>
      </c>
      <c r="D24" s="11">
        <f>D7-D23</f>
        <v>15030.336000000003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>
  <sheetPr>
    <tabColor theme="0"/>
  </sheetPr>
  <dimension ref="A1:F24"/>
  <sheetViews>
    <sheetView topLeftCell="A6" workbookViewId="0">
      <selection activeCell="A73" sqref="A23:XFD73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137644.80000000002</v>
      </c>
    </row>
    <row r="6" spans="1:6">
      <c r="A6" s="5"/>
      <c r="B6" s="7" t="s">
        <v>4</v>
      </c>
      <c r="C6" s="13" t="s">
        <v>39</v>
      </c>
      <c r="D6" s="12">
        <f>857.6*6*20.67</f>
        <v>106359.55200000001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857.6*6.08*6</f>
        <v>31285.248000000003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8" t="s">
        <v>8</v>
      </c>
      <c r="C10" s="13" t="s">
        <v>39</v>
      </c>
      <c r="D10" s="21">
        <f>857.6*6*2.38</f>
        <v>12246.528</v>
      </c>
      <c r="F10" s="19">
        <v>12.62</v>
      </c>
    </row>
    <row r="11" spans="1:6">
      <c r="A11" s="5"/>
      <c r="B11" s="8" t="s">
        <v>40</v>
      </c>
      <c r="C11" s="13" t="s">
        <v>39</v>
      </c>
      <c r="D11" s="21">
        <v>20000</v>
      </c>
      <c r="F11" s="19"/>
    </row>
    <row r="12" spans="1:6">
      <c r="A12" s="5"/>
      <c r="B12" s="8" t="s">
        <v>9</v>
      </c>
      <c r="C12" s="13" t="s">
        <v>39</v>
      </c>
      <c r="D12" s="21">
        <f>857.6*6*4.82</f>
        <v>24801.792000000005</v>
      </c>
      <c r="F12" s="19">
        <v>15.55</v>
      </c>
    </row>
    <row r="13" spans="1:6">
      <c r="A13" s="5"/>
      <c r="B13" s="8" t="s">
        <v>10</v>
      </c>
      <c r="C13" s="13" t="s">
        <v>39</v>
      </c>
      <c r="D13" s="21">
        <f>857.6*6*2.29</f>
        <v>11783.424000000001</v>
      </c>
      <c r="F13" s="19">
        <v>11.46</v>
      </c>
    </row>
    <row r="14" spans="1:6">
      <c r="A14" s="5"/>
      <c r="B14" s="8" t="s">
        <v>11</v>
      </c>
      <c r="C14" s="13" t="s">
        <v>39</v>
      </c>
      <c r="D14" s="21">
        <f>857.6*6*3.4</f>
        <v>17495.04</v>
      </c>
      <c r="F14" s="19">
        <v>13.98</v>
      </c>
    </row>
    <row r="15" spans="1:6">
      <c r="A15" s="5"/>
      <c r="B15" s="8" t="s">
        <v>12</v>
      </c>
      <c r="C15" s="13" t="s">
        <v>39</v>
      </c>
      <c r="D15" s="21">
        <f>857.6*6*2.61</f>
        <v>13430.016</v>
      </c>
      <c r="F15" s="19">
        <v>8.1199999999999992</v>
      </c>
    </row>
    <row r="16" spans="1:6">
      <c r="A16" s="5"/>
      <c r="B16" s="8" t="s">
        <v>13</v>
      </c>
      <c r="C16" s="13" t="s">
        <v>39</v>
      </c>
      <c r="D16" s="21">
        <f>857.6*6*4.64</f>
        <v>23875.583999999999</v>
      </c>
      <c r="F16" s="19">
        <v>18.14</v>
      </c>
    </row>
    <row r="17" spans="1:6">
      <c r="A17" s="5"/>
      <c r="B17" s="8" t="s">
        <v>36</v>
      </c>
      <c r="C17" s="13" t="s">
        <v>39</v>
      </c>
      <c r="D17" s="21">
        <f>857.6*6*0.1</f>
        <v>514.56000000000006</v>
      </c>
      <c r="E17" s="16"/>
      <c r="F17" s="19">
        <v>0.41</v>
      </c>
    </row>
    <row r="18" spans="1:6">
      <c r="A18" s="5"/>
      <c r="B18" s="8" t="s">
        <v>38</v>
      </c>
      <c r="C18" s="13" t="s">
        <v>39</v>
      </c>
      <c r="D18" s="21">
        <f>857.6*6*0.43</f>
        <v>2212.6080000000002</v>
      </c>
      <c r="F18" s="19">
        <v>2.52</v>
      </c>
    </row>
    <row r="19" spans="1:6">
      <c r="A19" s="5"/>
      <c r="B19" s="9" t="s">
        <v>14</v>
      </c>
      <c r="C19" s="13" t="s">
        <v>39</v>
      </c>
      <c r="D19" s="11">
        <f>D18+D17+D16+D15+D14+D13+D12+D11+D10</f>
        <v>126359.55200000001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39</v>
      </c>
      <c r="D20" s="11">
        <f>D6-D19</f>
        <v>-20000</v>
      </c>
    </row>
    <row r="21" spans="1:6">
      <c r="A21" s="5"/>
      <c r="B21" s="24" t="s">
        <v>16</v>
      </c>
      <c r="C21" s="25"/>
      <c r="D21" s="26"/>
    </row>
    <row r="22" spans="1:6">
      <c r="A22" s="5"/>
      <c r="B22" s="6" t="s">
        <v>17</v>
      </c>
      <c r="C22" s="13" t="s">
        <v>39</v>
      </c>
      <c r="D22" s="11"/>
    </row>
    <row r="23" spans="1:6">
      <c r="A23" s="5"/>
      <c r="B23" s="7" t="s">
        <v>29</v>
      </c>
      <c r="C23" s="13" t="s">
        <v>39</v>
      </c>
      <c r="D23" s="12">
        <v>15000</v>
      </c>
    </row>
    <row r="24" spans="1:6">
      <c r="A24" s="5"/>
      <c r="B24" s="6" t="s">
        <v>15</v>
      </c>
      <c r="C24" s="13" t="s">
        <v>39</v>
      </c>
      <c r="D24" s="11">
        <f>D7-D23</f>
        <v>16285.248000000003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>
  <sheetPr>
    <tabColor theme="0"/>
  </sheetPr>
  <dimension ref="A1:F24"/>
  <sheetViews>
    <sheetView topLeftCell="A6" workbookViewId="0">
      <selection activeCell="A73" sqref="A23:XFD73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132701.4</v>
      </c>
    </row>
    <row r="6" spans="1:6">
      <c r="A6" s="5"/>
      <c r="B6" s="7" t="s">
        <v>4</v>
      </c>
      <c r="C6" s="13" t="s">
        <v>39</v>
      </c>
      <c r="D6" s="12">
        <f>826.8*6*20.67</f>
        <v>102539.73599999999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826.8*6.08*6</f>
        <v>30161.663999999997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8" t="s">
        <v>8</v>
      </c>
      <c r="C10" s="13" t="s">
        <v>39</v>
      </c>
      <c r="D10" s="21">
        <f>826.8*6*2.38</f>
        <v>11806.703999999998</v>
      </c>
      <c r="F10" s="19">
        <v>12.62</v>
      </c>
    </row>
    <row r="11" spans="1:6">
      <c r="A11" s="5"/>
      <c r="B11" s="8" t="s">
        <v>40</v>
      </c>
      <c r="C11" s="13" t="s">
        <v>39</v>
      </c>
      <c r="D11" s="21">
        <v>20000</v>
      </c>
      <c r="F11" s="19"/>
    </row>
    <row r="12" spans="1:6">
      <c r="A12" s="5"/>
      <c r="B12" s="8" t="s">
        <v>9</v>
      </c>
      <c r="C12" s="13" t="s">
        <v>39</v>
      </c>
      <c r="D12" s="21">
        <f>826.8*6*4.82</f>
        <v>23911.055999999997</v>
      </c>
      <c r="F12" s="19">
        <v>15.55</v>
      </c>
    </row>
    <row r="13" spans="1:6">
      <c r="A13" s="5"/>
      <c r="B13" s="8" t="s">
        <v>10</v>
      </c>
      <c r="C13" s="13" t="s">
        <v>39</v>
      </c>
      <c r="D13" s="21">
        <f>826.8*6*2.29</f>
        <v>11360.231999999998</v>
      </c>
      <c r="F13" s="19">
        <v>11.46</v>
      </c>
    </row>
    <row r="14" spans="1:6">
      <c r="A14" s="5"/>
      <c r="B14" s="8" t="s">
        <v>11</v>
      </c>
      <c r="C14" s="13" t="s">
        <v>39</v>
      </c>
      <c r="D14" s="21">
        <f>826.8*6*3.4</f>
        <v>16866.719999999998</v>
      </c>
      <c r="F14" s="19">
        <v>13.98</v>
      </c>
    </row>
    <row r="15" spans="1:6">
      <c r="A15" s="5"/>
      <c r="B15" s="8" t="s">
        <v>12</v>
      </c>
      <c r="C15" s="13" t="s">
        <v>39</v>
      </c>
      <c r="D15" s="21">
        <f>826.8*6*2.61</f>
        <v>12947.687999999998</v>
      </c>
      <c r="F15" s="19">
        <v>8.1199999999999992</v>
      </c>
    </row>
    <row r="16" spans="1:6">
      <c r="A16" s="5"/>
      <c r="B16" s="8" t="s">
        <v>13</v>
      </c>
      <c r="C16" s="13" t="s">
        <v>39</v>
      </c>
      <c r="D16" s="21">
        <f>826.8*6*4.64</f>
        <v>23018.111999999994</v>
      </c>
      <c r="F16" s="19">
        <v>18.14</v>
      </c>
    </row>
    <row r="17" spans="1:6">
      <c r="A17" s="5"/>
      <c r="B17" s="8" t="s">
        <v>36</v>
      </c>
      <c r="C17" s="13" t="s">
        <v>39</v>
      </c>
      <c r="D17" s="21">
        <f>826.8*6*0.1</f>
        <v>496.07999999999993</v>
      </c>
      <c r="E17" s="16"/>
      <c r="F17" s="19">
        <v>0.41</v>
      </c>
    </row>
    <row r="18" spans="1:6">
      <c r="A18" s="5"/>
      <c r="B18" s="8" t="s">
        <v>38</v>
      </c>
      <c r="C18" s="13" t="s">
        <v>39</v>
      </c>
      <c r="D18" s="21">
        <f>826.8*6*0.43</f>
        <v>2133.1439999999998</v>
      </c>
      <c r="F18" s="19">
        <v>2.52</v>
      </c>
    </row>
    <row r="19" spans="1:6">
      <c r="A19" s="5"/>
      <c r="B19" s="9" t="s">
        <v>14</v>
      </c>
      <c r="C19" s="13" t="s">
        <v>39</v>
      </c>
      <c r="D19" s="11">
        <f>D18+D17+D16+D15+D14+D13+D12+D11+D10</f>
        <v>122539.73599999999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39</v>
      </c>
      <c r="D20" s="11">
        <f>D6-D19</f>
        <v>-20000</v>
      </c>
    </row>
    <row r="21" spans="1:6">
      <c r="A21" s="5"/>
      <c r="B21" s="24" t="s">
        <v>16</v>
      </c>
      <c r="C21" s="25"/>
      <c r="D21" s="26"/>
    </row>
    <row r="22" spans="1:6">
      <c r="A22" s="5"/>
      <c r="B22" s="6" t="s">
        <v>17</v>
      </c>
      <c r="C22" s="13" t="s">
        <v>39</v>
      </c>
      <c r="D22" s="11"/>
    </row>
    <row r="23" spans="1:6">
      <c r="A23" s="5"/>
      <c r="B23" s="7" t="s">
        <v>29</v>
      </c>
      <c r="C23" s="13" t="s">
        <v>39</v>
      </c>
      <c r="D23" s="12">
        <v>15000</v>
      </c>
    </row>
    <row r="24" spans="1:6">
      <c r="A24" s="5"/>
      <c r="B24" s="6" t="s">
        <v>15</v>
      </c>
      <c r="C24" s="13" t="s">
        <v>39</v>
      </c>
      <c r="D24" s="11">
        <f>D7-D23</f>
        <v>15161.663999999997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>
  <sheetPr>
    <tabColor theme="0"/>
  </sheetPr>
  <dimension ref="A1:F24"/>
  <sheetViews>
    <sheetView topLeftCell="A6" workbookViewId="0">
      <selection activeCell="A73" sqref="A23:XFD73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131963.10000000003</v>
      </c>
    </row>
    <row r="6" spans="1:6">
      <c r="A6" s="5"/>
      <c r="B6" s="7" t="s">
        <v>4</v>
      </c>
      <c r="C6" s="13" t="s">
        <v>39</v>
      </c>
      <c r="D6" s="12">
        <f>822.2*6*20.67</f>
        <v>101969.24400000002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822.2*6.08*6</f>
        <v>29993.856000000003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8" t="s">
        <v>8</v>
      </c>
      <c r="C10" s="13" t="s">
        <v>39</v>
      </c>
      <c r="D10" s="21">
        <f>822.2*6*2.38</f>
        <v>11741.016000000001</v>
      </c>
      <c r="F10" s="19">
        <v>12.62</v>
      </c>
    </row>
    <row r="11" spans="1:6">
      <c r="A11" s="5"/>
      <c r="B11" s="8" t="s">
        <v>40</v>
      </c>
      <c r="C11" s="13" t="s">
        <v>39</v>
      </c>
      <c r="D11" s="21">
        <v>20000</v>
      </c>
      <c r="F11" s="19"/>
    </row>
    <row r="12" spans="1:6">
      <c r="A12" s="5"/>
      <c r="B12" s="8" t="s">
        <v>9</v>
      </c>
      <c r="C12" s="13" t="s">
        <v>39</v>
      </c>
      <c r="D12" s="21">
        <f>822.2*6*4.82</f>
        <v>23778.024000000005</v>
      </c>
      <c r="F12" s="19">
        <v>15.55</v>
      </c>
    </row>
    <row r="13" spans="1:6">
      <c r="A13" s="5"/>
      <c r="B13" s="8" t="s">
        <v>10</v>
      </c>
      <c r="C13" s="13" t="s">
        <v>39</v>
      </c>
      <c r="D13" s="21">
        <f>822.2*6*2.29</f>
        <v>11297.028000000002</v>
      </c>
      <c r="F13" s="19">
        <v>11.46</v>
      </c>
    </row>
    <row r="14" spans="1:6">
      <c r="A14" s="5"/>
      <c r="B14" s="8" t="s">
        <v>11</v>
      </c>
      <c r="C14" s="13" t="s">
        <v>39</v>
      </c>
      <c r="D14" s="21">
        <f>822.2*6*3.4</f>
        <v>16772.88</v>
      </c>
      <c r="F14" s="19">
        <v>13.98</v>
      </c>
    </row>
    <row r="15" spans="1:6">
      <c r="A15" s="5"/>
      <c r="B15" s="8" t="s">
        <v>12</v>
      </c>
      <c r="C15" s="13" t="s">
        <v>39</v>
      </c>
      <c r="D15" s="21">
        <f>822.2*6*2.61</f>
        <v>12875.652000000002</v>
      </c>
      <c r="F15" s="19">
        <v>8.1199999999999992</v>
      </c>
    </row>
    <row r="16" spans="1:6">
      <c r="A16" s="5"/>
      <c r="B16" s="8" t="s">
        <v>13</v>
      </c>
      <c r="C16" s="13" t="s">
        <v>39</v>
      </c>
      <c r="D16" s="21">
        <f>822.2*6*4.64</f>
        <v>22890.048000000003</v>
      </c>
      <c r="F16" s="19">
        <v>18.14</v>
      </c>
    </row>
    <row r="17" spans="1:6">
      <c r="A17" s="5"/>
      <c r="B17" s="8" t="s">
        <v>36</v>
      </c>
      <c r="C17" s="13" t="s">
        <v>39</v>
      </c>
      <c r="D17" s="21">
        <f>822.2*6*0.1</f>
        <v>493.32000000000011</v>
      </c>
      <c r="E17" s="16"/>
      <c r="F17" s="19">
        <v>0.41</v>
      </c>
    </row>
    <row r="18" spans="1:6">
      <c r="A18" s="5"/>
      <c r="B18" s="8" t="s">
        <v>38</v>
      </c>
      <c r="C18" s="13" t="s">
        <v>39</v>
      </c>
      <c r="D18" s="21">
        <f>822.2*6*0.43</f>
        <v>2121.2760000000003</v>
      </c>
      <c r="F18" s="19">
        <v>2.52</v>
      </c>
    </row>
    <row r="19" spans="1:6">
      <c r="A19" s="5"/>
      <c r="B19" s="9" t="s">
        <v>14</v>
      </c>
      <c r="C19" s="13" t="s">
        <v>39</v>
      </c>
      <c r="D19" s="11">
        <f>D18+D17+D16+D15+D14+D13+D12+D11+D10</f>
        <v>121969.24400000002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39</v>
      </c>
      <c r="D20" s="11">
        <f>D6-D19</f>
        <v>-20000</v>
      </c>
    </row>
    <row r="21" spans="1:6">
      <c r="A21" s="5"/>
      <c r="B21" s="24" t="s">
        <v>16</v>
      </c>
      <c r="C21" s="25"/>
      <c r="D21" s="26"/>
    </row>
    <row r="22" spans="1:6">
      <c r="A22" s="5"/>
      <c r="B22" s="6" t="s">
        <v>17</v>
      </c>
      <c r="C22" s="13" t="s">
        <v>39</v>
      </c>
      <c r="D22" s="11"/>
    </row>
    <row r="23" spans="1:6">
      <c r="A23" s="5"/>
      <c r="B23" s="7" t="s">
        <v>29</v>
      </c>
      <c r="C23" s="13" t="s">
        <v>39</v>
      </c>
      <c r="D23" s="12">
        <v>15000</v>
      </c>
    </row>
    <row r="24" spans="1:6">
      <c r="A24" s="5"/>
      <c r="B24" s="6" t="s">
        <v>15</v>
      </c>
      <c r="C24" s="13" t="s">
        <v>39</v>
      </c>
      <c r="D24" s="11">
        <f>D7-D23</f>
        <v>14993.856000000003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>
  <sheetPr>
    <tabColor theme="0"/>
  </sheetPr>
  <dimension ref="A1:F24"/>
  <sheetViews>
    <sheetView topLeftCell="A6" workbookViewId="0">
      <selection activeCell="A73" sqref="A23:XFD73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131963.10000000003</v>
      </c>
    </row>
    <row r="6" spans="1:6">
      <c r="A6" s="5"/>
      <c r="B6" s="7" t="s">
        <v>4</v>
      </c>
      <c r="C6" s="13" t="s">
        <v>39</v>
      </c>
      <c r="D6" s="12">
        <f>822.2*6*20.67</f>
        <v>101969.24400000002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822.2*6.08*6</f>
        <v>29993.856000000003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8" t="s">
        <v>8</v>
      </c>
      <c r="C10" s="13" t="s">
        <v>39</v>
      </c>
      <c r="D10" s="21">
        <f>822.2*6*2.38</f>
        <v>11741.016000000001</v>
      </c>
      <c r="F10" s="19">
        <v>12.62</v>
      </c>
    </row>
    <row r="11" spans="1:6">
      <c r="A11" s="5"/>
      <c r="B11" s="8" t="s">
        <v>40</v>
      </c>
      <c r="C11" s="13" t="s">
        <v>39</v>
      </c>
      <c r="D11" s="21">
        <v>20000</v>
      </c>
      <c r="F11" s="19"/>
    </row>
    <row r="12" spans="1:6">
      <c r="A12" s="5"/>
      <c r="B12" s="8" t="s">
        <v>9</v>
      </c>
      <c r="C12" s="13" t="s">
        <v>39</v>
      </c>
      <c r="D12" s="21">
        <f>822.2*6*4.82</f>
        <v>23778.024000000005</v>
      </c>
      <c r="F12" s="19">
        <v>15.55</v>
      </c>
    </row>
    <row r="13" spans="1:6">
      <c r="A13" s="5"/>
      <c r="B13" s="8" t="s">
        <v>10</v>
      </c>
      <c r="C13" s="13" t="s">
        <v>39</v>
      </c>
      <c r="D13" s="21">
        <f>822.2*6*2.29</f>
        <v>11297.028000000002</v>
      </c>
      <c r="F13" s="19">
        <v>11.46</v>
      </c>
    </row>
    <row r="14" spans="1:6">
      <c r="A14" s="5"/>
      <c r="B14" s="8" t="s">
        <v>11</v>
      </c>
      <c r="C14" s="13" t="s">
        <v>39</v>
      </c>
      <c r="D14" s="21">
        <f>822.2*6*3.4</f>
        <v>16772.88</v>
      </c>
      <c r="F14" s="19">
        <v>13.98</v>
      </c>
    </row>
    <row r="15" spans="1:6">
      <c r="A15" s="5"/>
      <c r="B15" s="8" t="s">
        <v>12</v>
      </c>
      <c r="C15" s="13" t="s">
        <v>39</v>
      </c>
      <c r="D15" s="21">
        <f>822.2*6*2.61</f>
        <v>12875.652000000002</v>
      </c>
      <c r="F15" s="19">
        <v>8.1199999999999992</v>
      </c>
    </row>
    <row r="16" spans="1:6">
      <c r="A16" s="5"/>
      <c r="B16" s="8" t="s">
        <v>13</v>
      </c>
      <c r="C16" s="13" t="s">
        <v>39</v>
      </c>
      <c r="D16" s="21">
        <f>822.2*6*4.64</f>
        <v>22890.048000000003</v>
      </c>
      <c r="F16" s="19">
        <v>18.14</v>
      </c>
    </row>
    <row r="17" spans="1:6">
      <c r="A17" s="5"/>
      <c r="B17" s="8" t="s">
        <v>36</v>
      </c>
      <c r="C17" s="13" t="s">
        <v>39</v>
      </c>
      <c r="D17" s="21">
        <f>822.2*6*0.1</f>
        <v>493.32000000000011</v>
      </c>
      <c r="E17" s="16"/>
      <c r="F17" s="19">
        <v>0.41</v>
      </c>
    </row>
    <row r="18" spans="1:6">
      <c r="A18" s="5"/>
      <c r="B18" s="8" t="s">
        <v>38</v>
      </c>
      <c r="C18" s="13" t="s">
        <v>39</v>
      </c>
      <c r="D18" s="21">
        <f>822.2*6*0.43</f>
        <v>2121.2760000000003</v>
      </c>
      <c r="F18" s="19">
        <v>2.52</v>
      </c>
    </row>
    <row r="19" spans="1:6">
      <c r="A19" s="5"/>
      <c r="B19" s="9" t="s">
        <v>14</v>
      </c>
      <c r="C19" s="13" t="s">
        <v>39</v>
      </c>
      <c r="D19" s="11">
        <f>D18+D17+D16+D15+D14+D13+D12+D11+D10</f>
        <v>121969.24400000002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39</v>
      </c>
      <c r="D20" s="11">
        <f>D6-D19</f>
        <v>-20000</v>
      </c>
    </row>
    <row r="21" spans="1:6">
      <c r="A21" s="5"/>
      <c r="B21" s="24" t="s">
        <v>16</v>
      </c>
      <c r="C21" s="25"/>
      <c r="D21" s="26"/>
    </row>
    <row r="22" spans="1:6">
      <c r="A22" s="5"/>
      <c r="B22" s="6" t="s">
        <v>17</v>
      </c>
      <c r="C22" s="13" t="s">
        <v>39</v>
      </c>
      <c r="D22" s="11"/>
    </row>
    <row r="23" spans="1:6">
      <c r="A23" s="5"/>
      <c r="B23" s="7" t="s">
        <v>29</v>
      </c>
      <c r="C23" s="13" t="s">
        <v>39</v>
      </c>
      <c r="D23" s="12">
        <v>15000</v>
      </c>
    </row>
    <row r="24" spans="1:6">
      <c r="A24" s="5"/>
      <c r="B24" s="6" t="s">
        <v>15</v>
      </c>
      <c r="C24" s="13" t="s">
        <v>39</v>
      </c>
      <c r="D24" s="11">
        <f>D7-D23</f>
        <v>14993.856000000003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>
  <sheetPr>
    <tabColor theme="0"/>
  </sheetPr>
  <dimension ref="A1:F24"/>
  <sheetViews>
    <sheetView topLeftCell="A6" workbookViewId="0">
      <selection activeCell="A72" sqref="A23:XFD72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270089.40000000002</v>
      </c>
    </row>
    <row r="6" spans="1:6">
      <c r="A6" s="5"/>
      <c r="B6" s="7" t="s">
        <v>4</v>
      </c>
      <c r="C6" s="13" t="s">
        <v>39</v>
      </c>
      <c r="D6" s="12">
        <f>841.4*12*20.67</f>
        <v>208700.856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841.4*6.08*12</f>
        <v>61388.543999999994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8" t="s">
        <v>8</v>
      </c>
      <c r="C10" s="13" t="s">
        <v>39</v>
      </c>
      <c r="D10" s="21">
        <f>841.4*12*2.38</f>
        <v>24030.383999999998</v>
      </c>
      <c r="F10" s="19">
        <v>12.62</v>
      </c>
    </row>
    <row r="11" spans="1:6">
      <c r="A11" s="5"/>
      <c r="B11" s="8" t="s">
        <v>40</v>
      </c>
      <c r="C11" s="13" t="s">
        <v>39</v>
      </c>
      <c r="D11" s="21">
        <v>20000</v>
      </c>
      <c r="F11" s="19"/>
    </row>
    <row r="12" spans="1:6">
      <c r="A12" s="5"/>
      <c r="B12" s="8" t="s">
        <v>9</v>
      </c>
      <c r="C12" s="13" t="s">
        <v>39</v>
      </c>
      <c r="D12" s="21">
        <f>841.4*12*4.82</f>
        <v>48666.576000000001</v>
      </c>
      <c r="F12" s="19">
        <v>15.55</v>
      </c>
    </row>
    <row r="13" spans="1:6">
      <c r="A13" s="5"/>
      <c r="B13" s="8" t="s">
        <v>10</v>
      </c>
      <c r="C13" s="13" t="s">
        <v>39</v>
      </c>
      <c r="D13" s="21">
        <f>841.4*12*2.29</f>
        <v>23121.671999999999</v>
      </c>
      <c r="F13" s="19">
        <v>11.46</v>
      </c>
    </row>
    <row r="14" spans="1:6">
      <c r="A14" s="5"/>
      <c r="B14" s="8" t="s">
        <v>11</v>
      </c>
      <c r="C14" s="13" t="s">
        <v>39</v>
      </c>
      <c r="D14" s="21">
        <f>841.4*12*3.4</f>
        <v>34329.119999999995</v>
      </c>
      <c r="F14" s="19">
        <v>13.98</v>
      </c>
    </row>
    <row r="15" spans="1:6">
      <c r="A15" s="5"/>
      <c r="B15" s="8" t="s">
        <v>12</v>
      </c>
      <c r="C15" s="13" t="s">
        <v>39</v>
      </c>
      <c r="D15" s="21">
        <f>841.4*12*2.61</f>
        <v>26352.647999999997</v>
      </c>
      <c r="F15" s="19">
        <v>8.1199999999999992</v>
      </c>
    </row>
    <row r="16" spans="1:6">
      <c r="A16" s="5"/>
      <c r="B16" s="8" t="s">
        <v>13</v>
      </c>
      <c r="C16" s="13" t="s">
        <v>39</v>
      </c>
      <c r="D16" s="21">
        <f>841.4*12*4.64</f>
        <v>46849.151999999995</v>
      </c>
      <c r="F16" s="19">
        <v>18.14</v>
      </c>
    </row>
    <row r="17" spans="1:6">
      <c r="A17" s="5"/>
      <c r="B17" s="8" t="s">
        <v>36</v>
      </c>
      <c r="C17" s="13" t="s">
        <v>39</v>
      </c>
      <c r="D17" s="21">
        <f>841.4*12*0.1</f>
        <v>1009.68</v>
      </c>
      <c r="E17" s="16"/>
      <c r="F17" s="19">
        <v>0.41</v>
      </c>
    </row>
    <row r="18" spans="1:6">
      <c r="A18" s="5"/>
      <c r="B18" s="8" t="s">
        <v>38</v>
      </c>
      <c r="C18" s="13" t="s">
        <v>39</v>
      </c>
      <c r="D18" s="21">
        <f>841.4*12*0.43</f>
        <v>4341.6239999999998</v>
      </c>
      <c r="F18" s="19">
        <v>2.52</v>
      </c>
    </row>
    <row r="19" spans="1:6">
      <c r="A19" s="5"/>
      <c r="B19" s="9" t="s">
        <v>14</v>
      </c>
      <c r="C19" s="13" t="s">
        <v>39</v>
      </c>
      <c r="D19" s="11">
        <f>D18+D17+D16+D15+D14+D13+D12+D11+D10</f>
        <v>228700.85599999997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39</v>
      </c>
      <c r="D20" s="11">
        <f>D6-D19</f>
        <v>-19999.999999999971</v>
      </c>
    </row>
    <row r="21" spans="1:6">
      <c r="A21" s="5"/>
      <c r="B21" s="24" t="s">
        <v>16</v>
      </c>
      <c r="C21" s="25"/>
      <c r="D21" s="26"/>
    </row>
    <row r="22" spans="1:6">
      <c r="A22" s="5"/>
      <c r="B22" s="6" t="s">
        <v>17</v>
      </c>
      <c r="C22" s="13" t="s">
        <v>39</v>
      </c>
      <c r="D22" s="11"/>
    </row>
    <row r="23" spans="1:6">
      <c r="A23" s="5"/>
      <c r="B23" s="7" t="s">
        <v>29</v>
      </c>
      <c r="C23" s="13" t="s">
        <v>39</v>
      </c>
      <c r="D23" s="12">
        <v>15000</v>
      </c>
    </row>
    <row r="24" spans="1:6">
      <c r="A24" s="5"/>
      <c r="B24" s="6" t="s">
        <v>15</v>
      </c>
      <c r="C24" s="13" t="s">
        <v>39</v>
      </c>
      <c r="D24" s="11">
        <f>D7-D23</f>
        <v>46388.543999999994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>
  <sheetPr>
    <tabColor theme="0"/>
  </sheetPr>
  <dimension ref="A1:F24"/>
  <sheetViews>
    <sheetView topLeftCell="A6" workbookViewId="0">
      <selection activeCell="A72" sqref="A23:XFD72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264504</v>
      </c>
    </row>
    <row r="6" spans="1:6">
      <c r="A6" s="5"/>
      <c r="B6" s="7" t="s">
        <v>4</v>
      </c>
      <c r="C6" s="13" t="s">
        <v>39</v>
      </c>
      <c r="D6" s="12">
        <f>824*12*20.67</f>
        <v>204384.96000000002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824*6.08*12</f>
        <v>60119.040000000001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8" t="s">
        <v>8</v>
      </c>
      <c r="C10" s="13" t="s">
        <v>39</v>
      </c>
      <c r="D10" s="21">
        <f>824*12*2.38</f>
        <v>23533.439999999999</v>
      </c>
      <c r="F10" s="19">
        <v>12.62</v>
      </c>
    </row>
    <row r="11" spans="1:6">
      <c r="A11" s="5"/>
      <c r="B11" s="8" t="s">
        <v>40</v>
      </c>
      <c r="C11" s="13" t="s">
        <v>39</v>
      </c>
      <c r="D11" s="21">
        <v>20000</v>
      </c>
      <c r="F11" s="19"/>
    </row>
    <row r="12" spans="1:6">
      <c r="A12" s="5"/>
      <c r="B12" s="8" t="s">
        <v>9</v>
      </c>
      <c r="C12" s="13" t="s">
        <v>39</v>
      </c>
      <c r="D12" s="21">
        <f>824*12*4.82</f>
        <v>47660.160000000003</v>
      </c>
      <c r="F12" s="19">
        <v>15.55</v>
      </c>
    </row>
    <row r="13" spans="1:6">
      <c r="A13" s="5"/>
      <c r="B13" s="8" t="s">
        <v>10</v>
      </c>
      <c r="C13" s="13" t="s">
        <v>39</v>
      </c>
      <c r="D13" s="21">
        <f>824*12*2.29</f>
        <v>22643.52</v>
      </c>
      <c r="F13" s="19">
        <v>11.46</v>
      </c>
    </row>
    <row r="14" spans="1:6">
      <c r="A14" s="5"/>
      <c r="B14" s="8" t="s">
        <v>11</v>
      </c>
      <c r="C14" s="13" t="s">
        <v>39</v>
      </c>
      <c r="D14" s="21">
        <f>824*12*3.4</f>
        <v>33619.199999999997</v>
      </c>
      <c r="F14" s="19">
        <v>13.98</v>
      </c>
    </row>
    <row r="15" spans="1:6">
      <c r="A15" s="5"/>
      <c r="B15" s="8" t="s">
        <v>12</v>
      </c>
      <c r="C15" s="13" t="s">
        <v>39</v>
      </c>
      <c r="D15" s="21">
        <f>824*12*2.61</f>
        <v>25807.68</v>
      </c>
      <c r="F15" s="19">
        <v>8.1199999999999992</v>
      </c>
    </row>
    <row r="16" spans="1:6">
      <c r="A16" s="5"/>
      <c r="B16" s="8" t="s">
        <v>13</v>
      </c>
      <c r="C16" s="13" t="s">
        <v>39</v>
      </c>
      <c r="D16" s="21">
        <f>824*12*4.64</f>
        <v>45880.32</v>
      </c>
      <c r="F16" s="19">
        <v>18.14</v>
      </c>
    </row>
    <row r="17" spans="1:6">
      <c r="A17" s="5"/>
      <c r="B17" s="8" t="s">
        <v>36</v>
      </c>
      <c r="C17" s="13" t="s">
        <v>39</v>
      </c>
      <c r="D17" s="21">
        <f>824*12*0.1</f>
        <v>988.80000000000007</v>
      </c>
      <c r="E17" s="16"/>
      <c r="F17" s="19">
        <v>0.41</v>
      </c>
    </row>
    <row r="18" spans="1:6">
      <c r="A18" s="5"/>
      <c r="B18" s="8" t="s">
        <v>38</v>
      </c>
      <c r="C18" s="13" t="s">
        <v>39</v>
      </c>
      <c r="D18" s="21">
        <f>824*12*0.43</f>
        <v>4251.84</v>
      </c>
      <c r="F18" s="19">
        <v>2.52</v>
      </c>
    </row>
    <row r="19" spans="1:6">
      <c r="A19" s="5"/>
      <c r="B19" s="9" t="s">
        <v>14</v>
      </c>
      <c r="C19" s="13" t="s">
        <v>39</v>
      </c>
      <c r="D19" s="11">
        <f>D18+D17+D16+D15+D14+D13+D12+D11+D10</f>
        <v>224384.96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39</v>
      </c>
      <c r="D20" s="11">
        <f>D6-D19</f>
        <v>-19999.999999999971</v>
      </c>
    </row>
    <row r="21" spans="1:6">
      <c r="A21" s="5"/>
      <c r="B21" s="24" t="s">
        <v>16</v>
      </c>
      <c r="C21" s="25"/>
      <c r="D21" s="26"/>
    </row>
    <row r="22" spans="1:6">
      <c r="A22" s="5"/>
      <c r="B22" s="6" t="s">
        <v>17</v>
      </c>
      <c r="C22" s="13" t="s">
        <v>39</v>
      </c>
      <c r="D22" s="11"/>
    </row>
    <row r="23" spans="1:6">
      <c r="A23" s="5"/>
      <c r="B23" s="7" t="s">
        <v>29</v>
      </c>
      <c r="C23" s="13" t="s">
        <v>39</v>
      </c>
      <c r="D23" s="12">
        <v>15000</v>
      </c>
    </row>
    <row r="24" spans="1:6">
      <c r="A24" s="5"/>
      <c r="B24" s="6" t="s">
        <v>15</v>
      </c>
      <c r="C24" s="13" t="s">
        <v>39</v>
      </c>
      <c r="D24" s="11">
        <f>D7-D23</f>
        <v>45119.040000000001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>
  <sheetPr>
    <tabColor theme="0"/>
  </sheetPr>
  <dimension ref="A1:F24"/>
  <sheetViews>
    <sheetView topLeftCell="A6" workbookViewId="0">
      <selection activeCell="A72" sqref="A23:XFD72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296636.10000000003</v>
      </c>
    </row>
    <row r="6" spans="1:6">
      <c r="A6" s="5"/>
      <c r="B6" s="7" t="s">
        <v>4</v>
      </c>
      <c r="C6" s="13" t="s">
        <v>39</v>
      </c>
      <c r="D6" s="12">
        <f>924.1*12*20.67</f>
        <v>229213.76400000002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924.1*6.08*12</f>
        <v>67422.33600000001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8" t="s">
        <v>8</v>
      </c>
      <c r="C10" s="13" t="s">
        <v>39</v>
      </c>
      <c r="D10" s="21">
        <f>924.1*12*2.38</f>
        <v>26392.296000000002</v>
      </c>
      <c r="F10" s="19">
        <v>12.62</v>
      </c>
    </row>
    <row r="11" spans="1:6">
      <c r="A11" s="5"/>
      <c r="B11" s="8" t="s">
        <v>40</v>
      </c>
      <c r="C11" s="13" t="s">
        <v>39</v>
      </c>
      <c r="D11" s="21">
        <v>20000</v>
      </c>
      <c r="F11" s="19"/>
    </row>
    <row r="12" spans="1:6">
      <c r="A12" s="5"/>
      <c r="B12" s="8" t="s">
        <v>9</v>
      </c>
      <c r="C12" s="13" t="s">
        <v>39</v>
      </c>
      <c r="D12" s="21">
        <f>924.1*12*4.82</f>
        <v>53449.944000000003</v>
      </c>
      <c r="F12" s="19">
        <v>15.55</v>
      </c>
    </row>
    <row r="13" spans="1:6">
      <c r="A13" s="5"/>
      <c r="B13" s="8" t="s">
        <v>10</v>
      </c>
      <c r="C13" s="13" t="s">
        <v>39</v>
      </c>
      <c r="D13" s="21">
        <f>924.1*12*2.29</f>
        <v>25394.268000000004</v>
      </c>
      <c r="F13" s="19">
        <v>11.46</v>
      </c>
    </row>
    <row r="14" spans="1:6">
      <c r="A14" s="5"/>
      <c r="B14" s="8" t="s">
        <v>11</v>
      </c>
      <c r="C14" s="13" t="s">
        <v>39</v>
      </c>
      <c r="D14" s="21">
        <f>924.1*12*3.4</f>
        <v>37703.279999999999</v>
      </c>
      <c r="F14" s="19">
        <v>13.98</v>
      </c>
    </row>
    <row r="15" spans="1:6">
      <c r="A15" s="5"/>
      <c r="B15" s="8" t="s">
        <v>12</v>
      </c>
      <c r="C15" s="13" t="s">
        <v>39</v>
      </c>
      <c r="D15" s="21">
        <f>924.1*12*2.61</f>
        <v>28942.812000000002</v>
      </c>
      <c r="F15" s="19">
        <v>8.1199999999999992</v>
      </c>
    </row>
    <row r="16" spans="1:6">
      <c r="A16" s="5"/>
      <c r="B16" s="8" t="s">
        <v>13</v>
      </c>
      <c r="C16" s="13" t="s">
        <v>39</v>
      </c>
      <c r="D16" s="21">
        <f>924.1*12*4.64</f>
        <v>51453.887999999999</v>
      </c>
      <c r="F16" s="19">
        <v>18.14</v>
      </c>
    </row>
    <row r="17" spans="1:6">
      <c r="A17" s="5"/>
      <c r="B17" s="8" t="s">
        <v>36</v>
      </c>
      <c r="C17" s="13" t="s">
        <v>39</v>
      </c>
      <c r="D17" s="21">
        <f>924.1*12*0.1</f>
        <v>1108.92</v>
      </c>
      <c r="E17" s="16"/>
      <c r="F17" s="19">
        <v>0.41</v>
      </c>
    </row>
    <row r="18" spans="1:6">
      <c r="A18" s="5"/>
      <c r="B18" s="8" t="s">
        <v>38</v>
      </c>
      <c r="C18" s="13" t="s">
        <v>39</v>
      </c>
      <c r="D18" s="21">
        <f>924.1*12*0.43</f>
        <v>4768.3560000000007</v>
      </c>
      <c r="F18" s="19">
        <v>2.52</v>
      </c>
    </row>
    <row r="19" spans="1:6">
      <c r="A19" s="5"/>
      <c r="B19" s="9" t="s">
        <v>14</v>
      </c>
      <c r="C19" s="13" t="s">
        <v>39</v>
      </c>
      <c r="D19" s="11">
        <f>D18+D17+D16+D15+D14+D13+D12+D11+D10</f>
        <v>249213.764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39</v>
      </c>
      <c r="D20" s="11">
        <f>D6-D19</f>
        <v>-19999.999999999971</v>
      </c>
    </row>
    <row r="21" spans="1:6">
      <c r="A21" s="5"/>
      <c r="B21" s="24" t="s">
        <v>16</v>
      </c>
      <c r="C21" s="25"/>
      <c r="D21" s="26"/>
    </row>
    <row r="22" spans="1:6">
      <c r="A22" s="5"/>
      <c r="B22" s="6" t="s">
        <v>17</v>
      </c>
      <c r="C22" s="13" t="s">
        <v>39</v>
      </c>
      <c r="D22" s="11"/>
    </row>
    <row r="23" spans="1:6">
      <c r="A23" s="5"/>
      <c r="B23" s="7" t="s">
        <v>29</v>
      </c>
      <c r="C23" s="13" t="s">
        <v>39</v>
      </c>
      <c r="D23" s="12">
        <v>15000</v>
      </c>
    </row>
    <row r="24" spans="1:6">
      <c r="A24" s="5"/>
      <c r="B24" s="6" t="s">
        <v>15</v>
      </c>
      <c r="C24" s="13" t="s">
        <v>39</v>
      </c>
      <c r="D24" s="11">
        <f>D7-D23</f>
        <v>52422.33600000001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1:F30"/>
  <sheetViews>
    <sheetView topLeftCell="A23" workbookViewId="0">
      <selection activeCell="A29" sqref="A26:XFD29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178179.07200000001</v>
      </c>
    </row>
    <row r="6" spans="1:6">
      <c r="A6" s="5"/>
      <c r="B6" s="7" t="s">
        <v>4</v>
      </c>
      <c r="C6" s="13" t="s">
        <v>39</v>
      </c>
      <c r="D6" s="12">
        <f>793.6*12*14.66</f>
        <v>139610.11200000002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793.6*4.05*12</f>
        <v>38568.959999999999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17" t="s">
        <v>41</v>
      </c>
      <c r="C10" s="18" t="s">
        <v>39</v>
      </c>
      <c r="D10" s="20">
        <f>793.6*12*0.29</f>
        <v>2761.7280000000001</v>
      </c>
      <c r="F10" s="19">
        <v>1.99</v>
      </c>
    </row>
    <row r="11" spans="1:6">
      <c r="A11" s="5"/>
      <c r="B11" s="8" t="s">
        <v>7</v>
      </c>
      <c r="C11" s="13" t="s">
        <v>39</v>
      </c>
      <c r="D11" s="21">
        <f>793.6*12*2.23</f>
        <v>21236.736000000001</v>
      </c>
      <c r="F11" s="19">
        <v>15.21</v>
      </c>
    </row>
    <row r="12" spans="1:6">
      <c r="A12" s="5"/>
      <c r="B12" s="8" t="s">
        <v>8</v>
      </c>
      <c r="C12" s="13" t="s">
        <v>39</v>
      </c>
      <c r="D12" s="21">
        <f>793.6*12*1.85</f>
        <v>17617.920000000002</v>
      </c>
      <c r="F12" s="19">
        <v>12.62</v>
      </c>
    </row>
    <row r="13" spans="1:6">
      <c r="A13" s="5"/>
      <c r="B13" s="8" t="s">
        <v>40</v>
      </c>
      <c r="C13" s="13" t="s">
        <v>39</v>
      </c>
      <c r="D13" s="21">
        <v>20000</v>
      </c>
      <c r="F13" s="19"/>
    </row>
    <row r="14" spans="1:6">
      <c r="A14" s="5"/>
      <c r="B14" s="8" t="s">
        <v>9</v>
      </c>
      <c r="C14" s="13" t="s">
        <v>39</v>
      </c>
      <c r="D14" s="21">
        <f>793.6*12*2.28</f>
        <v>21712.896000000001</v>
      </c>
      <c r="F14" s="19">
        <v>15.55</v>
      </c>
    </row>
    <row r="15" spans="1:6">
      <c r="A15" s="5"/>
      <c r="B15" s="8" t="s">
        <v>10</v>
      </c>
      <c r="C15" s="13" t="s">
        <v>39</v>
      </c>
      <c r="D15" s="21">
        <f>793.6*12*1.68</f>
        <v>15998.976000000001</v>
      </c>
      <c r="F15" s="19">
        <v>11.46</v>
      </c>
    </row>
    <row r="16" spans="1:6">
      <c r="A16" s="5"/>
      <c r="B16" s="8" t="s">
        <v>11</v>
      </c>
      <c r="C16" s="13" t="s">
        <v>39</v>
      </c>
      <c r="D16" s="21">
        <f>793.6*12*2.05</f>
        <v>19522.560000000001</v>
      </c>
      <c r="F16" s="19">
        <v>13.98</v>
      </c>
    </row>
    <row r="17" spans="1:6">
      <c r="A17" s="5"/>
      <c r="B17" s="8" t="s">
        <v>12</v>
      </c>
      <c r="C17" s="13" t="s">
        <v>39</v>
      </c>
      <c r="D17" s="21">
        <f>793.6*12*1.19</f>
        <v>11332.608</v>
      </c>
      <c r="F17" s="19">
        <v>8.1199999999999992</v>
      </c>
    </row>
    <row r="18" spans="1:6">
      <c r="A18" s="5"/>
      <c r="B18" s="8" t="s">
        <v>13</v>
      </c>
      <c r="C18" s="13" t="s">
        <v>39</v>
      </c>
      <c r="D18" s="21">
        <f>793.6*12*2.66</f>
        <v>25331.712000000003</v>
      </c>
      <c r="F18" s="19">
        <v>18.14</v>
      </c>
    </row>
    <row r="19" spans="1:6">
      <c r="A19" s="5"/>
      <c r="B19" s="8" t="s">
        <v>36</v>
      </c>
      <c r="C19" s="13" t="s">
        <v>39</v>
      </c>
      <c r="D19" s="21">
        <f>793.6*12*0.06</f>
        <v>571.39200000000005</v>
      </c>
      <c r="E19" s="16"/>
      <c r="F19" s="19">
        <v>0.41</v>
      </c>
    </row>
    <row r="20" spans="1:6">
      <c r="A20" s="5"/>
      <c r="B20" s="8" t="s">
        <v>38</v>
      </c>
      <c r="C20" s="13" t="s">
        <v>39</v>
      </c>
      <c r="D20" s="21">
        <f>793.6*12*0.37</f>
        <v>3523.5840000000003</v>
      </c>
      <c r="F20" s="19">
        <v>2.52</v>
      </c>
    </row>
    <row r="21" spans="1:6">
      <c r="A21" s="5"/>
      <c r="B21" s="9" t="s">
        <v>14</v>
      </c>
      <c r="C21" s="13" t="s">
        <v>39</v>
      </c>
      <c r="D21" s="11">
        <f>D20+D19+D18+D17+D16+D15+D14+D13+D12+D11+D10</f>
        <v>159610.11200000002</v>
      </c>
      <c r="E21" s="16"/>
      <c r="F21" s="19">
        <f>F20+F19+F18+F17+F16+F15+F14+F13+F12+F11+F10</f>
        <v>100.00000000000001</v>
      </c>
    </row>
    <row r="22" spans="1:6">
      <c r="A22" s="5"/>
      <c r="B22" s="6" t="s">
        <v>15</v>
      </c>
      <c r="C22" s="13" t="s">
        <v>39</v>
      </c>
      <c r="D22" s="11">
        <f>D6-D21</f>
        <v>-20000</v>
      </c>
    </row>
    <row r="23" spans="1:6">
      <c r="A23" s="5"/>
      <c r="B23" s="24" t="s">
        <v>16</v>
      </c>
      <c r="C23" s="25"/>
      <c r="D23" s="26"/>
    </row>
    <row r="24" spans="1:6">
      <c r="A24" s="5"/>
      <c r="B24" s="6" t="s">
        <v>17</v>
      </c>
      <c r="C24" s="13" t="s">
        <v>39</v>
      </c>
      <c r="D24" s="11"/>
    </row>
    <row r="25" spans="1:6">
      <c r="A25" s="5"/>
      <c r="B25" s="7" t="s">
        <v>18</v>
      </c>
      <c r="C25" s="13" t="s">
        <v>39</v>
      </c>
      <c r="D25" s="12">
        <v>2000</v>
      </c>
    </row>
    <row r="26" spans="1:6">
      <c r="A26" s="5"/>
      <c r="B26" s="7" t="s">
        <v>21</v>
      </c>
      <c r="C26" s="13" t="s">
        <v>39</v>
      </c>
      <c r="D26" s="12">
        <v>26000</v>
      </c>
    </row>
    <row r="27" spans="1:6">
      <c r="A27" s="5"/>
      <c r="B27" s="7" t="s">
        <v>26</v>
      </c>
      <c r="C27" s="13" t="s">
        <v>39</v>
      </c>
      <c r="D27" s="12">
        <v>10000</v>
      </c>
    </row>
    <row r="28" spans="1:6">
      <c r="A28" s="5"/>
      <c r="B28" s="7" t="s">
        <v>29</v>
      </c>
      <c r="C28" s="13" t="s">
        <v>39</v>
      </c>
      <c r="D28" s="12">
        <v>15000</v>
      </c>
    </row>
    <row r="29" spans="1:6">
      <c r="A29" s="5"/>
      <c r="B29" s="7" t="s">
        <v>31</v>
      </c>
      <c r="C29" s="13" t="s">
        <v>39</v>
      </c>
      <c r="D29" s="12">
        <v>5000</v>
      </c>
    </row>
    <row r="30" spans="1:6">
      <c r="A30" s="5"/>
      <c r="B30" s="6" t="s">
        <v>15</v>
      </c>
      <c r="C30" s="13" t="s">
        <v>39</v>
      </c>
      <c r="D30" s="11">
        <f>D7-D26-D27-D29-D28-D25</f>
        <v>-19431.04</v>
      </c>
    </row>
  </sheetData>
  <mergeCells count="3">
    <mergeCell ref="A2:D2"/>
    <mergeCell ref="B9:D9"/>
    <mergeCell ref="B23:D23"/>
  </mergeCells>
  <dataValidations count="1">
    <dataValidation type="list" allowBlank="1" showInputMessage="1" showErrorMessage="1" sqref="B5:D5">
      <formula1>Адреса</formula1>
    </dataValidation>
  </dataValidation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>
  <sheetPr>
    <tabColor theme="0"/>
  </sheetPr>
  <dimension ref="A1:F24"/>
  <sheetViews>
    <sheetView topLeftCell="A6" workbookViewId="0">
      <selection activeCell="A72" sqref="A23:XFD72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264407.70000000007</v>
      </c>
    </row>
    <row r="6" spans="1:6">
      <c r="A6" s="5"/>
      <c r="B6" s="7" t="s">
        <v>4</v>
      </c>
      <c r="C6" s="13" t="s">
        <v>39</v>
      </c>
      <c r="D6" s="12">
        <f>823.7*12*20.67</f>
        <v>204310.54800000004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823.7*6.08*12</f>
        <v>60097.152000000002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8" t="s">
        <v>8</v>
      </c>
      <c r="C10" s="13" t="s">
        <v>39</v>
      </c>
      <c r="D10" s="21">
        <f>823.7*12*2.38</f>
        <v>23524.872000000003</v>
      </c>
      <c r="F10" s="19">
        <v>12.62</v>
      </c>
    </row>
    <row r="11" spans="1:6">
      <c r="A11" s="5"/>
      <c r="B11" s="8" t="s">
        <v>40</v>
      </c>
      <c r="C11" s="13" t="s">
        <v>39</v>
      </c>
      <c r="D11" s="21">
        <v>20000</v>
      </c>
      <c r="F11" s="19"/>
    </row>
    <row r="12" spans="1:6">
      <c r="A12" s="5"/>
      <c r="B12" s="8" t="s">
        <v>9</v>
      </c>
      <c r="C12" s="13" t="s">
        <v>39</v>
      </c>
      <c r="D12" s="21">
        <f>823.7*12*4.82</f>
        <v>47642.808000000012</v>
      </c>
      <c r="F12" s="19">
        <v>15.55</v>
      </c>
    </row>
    <row r="13" spans="1:6">
      <c r="A13" s="5"/>
      <c r="B13" s="8" t="s">
        <v>10</v>
      </c>
      <c r="C13" s="13" t="s">
        <v>39</v>
      </c>
      <c r="D13" s="21">
        <f>823.7*12*2.29</f>
        <v>22635.276000000005</v>
      </c>
      <c r="F13" s="19">
        <v>11.46</v>
      </c>
    </row>
    <row r="14" spans="1:6">
      <c r="A14" s="5"/>
      <c r="B14" s="8" t="s">
        <v>11</v>
      </c>
      <c r="C14" s="13" t="s">
        <v>39</v>
      </c>
      <c r="D14" s="21">
        <f>823.7*12*3.4</f>
        <v>33606.960000000006</v>
      </c>
      <c r="F14" s="19">
        <v>13.98</v>
      </c>
    </row>
    <row r="15" spans="1:6">
      <c r="A15" s="5"/>
      <c r="B15" s="8" t="s">
        <v>12</v>
      </c>
      <c r="C15" s="13" t="s">
        <v>39</v>
      </c>
      <c r="D15" s="21">
        <f>823.7*12*2.61</f>
        <v>25798.284000000003</v>
      </c>
      <c r="F15" s="19">
        <v>8.1199999999999992</v>
      </c>
    </row>
    <row r="16" spans="1:6">
      <c r="A16" s="5"/>
      <c r="B16" s="8" t="s">
        <v>13</v>
      </c>
      <c r="C16" s="13" t="s">
        <v>39</v>
      </c>
      <c r="D16" s="21">
        <f>823.7*12*4.64</f>
        <v>45863.616000000002</v>
      </c>
      <c r="F16" s="19">
        <v>18.14</v>
      </c>
    </row>
    <row r="17" spans="1:6">
      <c r="A17" s="5"/>
      <c r="B17" s="8" t="s">
        <v>36</v>
      </c>
      <c r="C17" s="13" t="s">
        <v>39</v>
      </c>
      <c r="D17" s="21">
        <f>823.7*12*0.1</f>
        <v>988.44000000000017</v>
      </c>
      <c r="E17" s="16"/>
      <c r="F17" s="19">
        <v>0.41</v>
      </c>
    </row>
    <row r="18" spans="1:6">
      <c r="A18" s="5"/>
      <c r="B18" s="8" t="s">
        <v>38</v>
      </c>
      <c r="C18" s="13" t="s">
        <v>39</v>
      </c>
      <c r="D18" s="21">
        <f>823.7*12*0.43</f>
        <v>4250.2920000000004</v>
      </c>
      <c r="F18" s="19">
        <v>2.52</v>
      </c>
    </row>
    <row r="19" spans="1:6">
      <c r="A19" s="5"/>
      <c r="B19" s="9" t="s">
        <v>14</v>
      </c>
      <c r="C19" s="13" t="s">
        <v>39</v>
      </c>
      <c r="D19" s="11">
        <f>D18+D17+D16+D15+D14+D13+D12+D11+D10</f>
        <v>224310.54800000004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39</v>
      </c>
      <c r="D20" s="11">
        <f>D6-D19</f>
        <v>-20000</v>
      </c>
    </row>
    <row r="21" spans="1:6">
      <c r="A21" s="5"/>
      <c r="B21" s="24" t="s">
        <v>16</v>
      </c>
      <c r="C21" s="25"/>
      <c r="D21" s="26"/>
    </row>
    <row r="22" spans="1:6">
      <c r="A22" s="5"/>
      <c r="B22" s="6" t="s">
        <v>17</v>
      </c>
      <c r="C22" s="13" t="s">
        <v>39</v>
      </c>
      <c r="D22" s="11"/>
    </row>
    <row r="23" spans="1:6">
      <c r="A23" s="5"/>
      <c r="B23" s="7" t="s">
        <v>29</v>
      </c>
      <c r="C23" s="13" t="s">
        <v>39</v>
      </c>
      <c r="D23" s="12">
        <v>15000</v>
      </c>
    </row>
    <row r="24" spans="1:6">
      <c r="A24" s="5"/>
      <c r="B24" s="6" t="s">
        <v>15</v>
      </c>
      <c r="C24" s="13" t="s">
        <v>39</v>
      </c>
      <c r="D24" s="11">
        <f>D7-D23</f>
        <v>45097.152000000002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>
  <sheetPr>
    <tabColor theme="0"/>
  </sheetPr>
  <dimension ref="A1:F24"/>
  <sheetViews>
    <sheetView topLeftCell="A6" workbookViewId="0">
      <selection activeCell="A72" sqref="A23:XFD72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268356</v>
      </c>
    </row>
    <row r="6" spans="1:6">
      <c r="A6" s="5"/>
      <c r="B6" s="7" t="s">
        <v>4</v>
      </c>
      <c r="C6" s="13" t="s">
        <v>39</v>
      </c>
      <c r="D6" s="12">
        <f>836*12*20.67</f>
        <v>207361.44000000003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836*6.08*12</f>
        <v>60994.559999999998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8" t="s">
        <v>8</v>
      </c>
      <c r="C10" s="13" t="s">
        <v>39</v>
      </c>
      <c r="D10" s="21">
        <f>836*12*2.38</f>
        <v>23876.16</v>
      </c>
      <c r="F10" s="19">
        <v>12.62</v>
      </c>
    </row>
    <row r="11" spans="1:6">
      <c r="A11" s="5"/>
      <c r="B11" s="8" t="s">
        <v>40</v>
      </c>
      <c r="C11" s="13" t="s">
        <v>39</v>
      </c>
      <c r="D11" s="21">
        <v>20000</v>
      </c>
      <c r="F11" s="19"/>
    </row>
    <row r="12" spans="1:6">
      <c r="A12" s="5"/>
      <c r="B12" s="8" t="s">
        <v>9</v>
      </c>
      <c r="C12" s="13" t="s">
        <v>39</v>
      </c>
      <c r="D12" s="21">
        <f>836*12*4.82</f>
        <v>48354.240000000005</v>
      </c>
      <c r="F12" s="19">
        <v>15.55</v>
      </c>
    </row>
    <row r="13" spans="1:6">
      <c r="A13" s="5"/>
      <c r="B13" s="8" t="s">
        <v>10</v>
      </c>
      <c r="C13" s="13" t="s">
        <v>39</v>
      </c>
      <c r="D13" s="21">
        <f>836*12*2.29</f>
        <v>22973.279999999999</v>
      </c>
      <c r="F13" s="19">
        <v>11.46</v>
      </c>
    </row>
    <row r="14" spans="1:6">
      <c r="A14" s="5"/>
      <c r="B14" s="8" t="s">
        <v>11</v>
      </c>
      <c r="C14" s="13" t="s">
        <v>39</v>
      </c>
      <c r="D14" s="21">
        <f>836*12*3.4</f>
        <v>34108.799999999996</v>
      </c>
      <c r="F14" s="19">
        <v>13.98</v>
      </c>
    </row>
    <row r="15" spans="1:6">
      <c r="A15" s="5"/>
      <c r="B15" s="8" t="s">
        <v>12</v>
      </c>
      <c r="C15" s="13" t="s">
        <v>39</v>
      </c>
      <c r="D15" s="21">
        <f>836*12*2.61</f>
        <v>26183.52</v>
      </c>
      <c r="F15" s="19">
        <v>8.1199999999999992</v>
      </c>
    </row>
    <row r="16" spans="1:6">
      <c r="A16" s="5"/>
      <c r="B16" s="8" t="s">
        <v>13</v>
      </c>
      <c r="C16" s="13" t="s">
        <v>39</v>
      </c>
      <c r="D16" s="21">
        <f>836*12*4.64</f>
        <v>46548.479999999996</v>
      </c>
      <c r="F16" s="19">
        <v>18.14</v>
      </c>
    </row>
    <row r="17" spans="1:6">
      <c r="A17" s="5"/>
      <c r="B17" s="8" t="s">
        <v>36</v>
      </c>
      <c r="C17" s="13" t="s">
        <v>39</v>
      </c>
      <c r="D17" s="21">
        <f>836*12*0.1</f>
        <v>1003.2</v>
      </c>
      <c r="E17" s="16"/>
      <c r="F17" s="19">
        <v>0.41</v>
      </c>
    </row>
    <row r="18" spans="1:6">
      <c r="A18" s="5"/>
      <c r="B18" s="8" t="s">
        <v>38</v>
      </c>
      <c r="C18" s="13" t="s">
        <v>39</v>
      </c>
      <c r="D18" s="21">
        <f>836*12*0.43</f>
        <v>4313.76</v>
      </c>
      <c r="F18" s="19">
        <v>2.52</v>
      </c>
    </row>
    <row r="19" spans="1:6">
      <c r="A19" s="5"/>
      <c r="B19" s="9" t="s">
        <v>14</v>
      </c>
      <c r="C19" s="13" t="s">
        <v>39</v>
      </c>
      <c r="D19" s="11">
        <f>D18+D17+D16+D15+D14+D13+D12+D11+D10</f>
        <v>227361.43999999997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39</v>
      </c>
      <c r="D20" s="11">
        <f>D6-D19</f>
        <v>-19999.999999999942</v>
      </c>
    </row>
    <row r="21" spans="1:6">
      <c r="A21" s="5"/>
      <c r="B21" s="24" t="s">
        <v>16</v>
      </c>
      <c r="C21" s="25"/>
      <c r="D21" s="26"/>
    </row>
    <row r="22" spans="1:6">
      <c r="A22" s="5"/>
      <c r="B22" s="6" t="s">
        <v>17</v>
      </c>
      <c r="C22" s="13" t="s">
        <v>39</v>
      </c>
      <c r="D22" s="11"/>
    </row>
    <row r="23" spans="1:6">
      <c r="A23" s="5"/>
      <c r="B23" s="7" t="s">
        <v>29</v>
      </c>
      <c r="C23" s="13" t="s">
        <v>39</v>
      </c>
      <c r="D23" s="12">
        <v>15000</v>
      </c>
    </row>
    <row r="24" spans="1:6">
      <c r="A24" s="5"/>
      <c r="B24" s="6" t="s">
        <v>15</v>
      </c>
      <c r="C24" s="13" t="s">
        <v>39</v>
      </c>
      <c r="D24" s="11">
        <f>D7-D23</f>
        <v>45994.559999999998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>
  <sheetPr>
    <tabColor theme="0"/>
  </sheetPr>
  <dimension ref="A1:F24"/>
  <sheetViews>
    <sheetView tabSelected="1" topLeftCell="A6" workbookViewId="0">
      <selection activeCell="E30" sqref="E30"/>
    </sheetView>
  </sheetViews>
  <sheetFormatPr defaultRowHeight="12"/>
  <cols>
    <col min="1" max="1" width="2.88671875" style="3" customWidth="1"/>
    <col min="2" max="2" width="39.77734375" style="3" customWidth="1"/>
    <col min="3" max="3" width="10" style="14" customWidth="1"/>
    <col min="4" max="4" width="14.5546875" style="14" customWidth="1"/>
    <col min="5" max="5" width="8.88671875" style="3"/>
    <col min="6" max="6" width="8.6640625" style="3" hidden="1" customWidth="1"/>
    <col min="7" max="16384" width="8.88671875" style="3"/>
  </cols>
  <sheetData>
    <row r="1" spans="1:6">
      <c r="A1" s="1"/>
      <c r="B1" s="1"/>
      <c r="C1" s="10"/>
      <c r="D1" s="2"/>
    </row>
    <row r="2" spans="1:6" ht="30" customHeight="1">
      <c r="A2" s="23" t="s">
        <v>37</v>
      </c>
      <c r="B2" s="23"/>
      <c r="C2" s="23"/>
      <c r="D2" s="23"/>
    </row>
    <row r="3" spans="1:6">
      <c r="A3" s="1"/>
      <c r="B3" s="1"/>
      <c r="C3" s="10"/>
      <c r="D3" s="10"/>
    </row>
    <row r="4" spans="1:6">
      <c r="A4" s="4" t="s">
        <v>0</v>
      </c>
      <c r="B4" s="4" t="s">
        <v>1</v>
      </c>
      <c r="C4" s="4" t="s">
        <v>2</v>
      </c>
      <c r="D4" s="4" t="s">
        <v>3</v>
      </c>
    </row>
    <row r="5" spans="1:6">
      <c r="A5" s="5"/>
      <c r="B5" s="6" t="s">
        <v>35</v>
      </c>
      <c r="C5" s="13" t="s">
        <v>39</v>
      </c>
      <c r="D5" s="11">
        <f>D6+D7</f>
        <v>263765.70000000007</v>
      </c>
    </row>
    <row r="6" spans="1:6">
      <c r="A6" s="5"/>
      <c r="B6" s="7" t="s">
        <v>4</v>
      </c>
      <c r="C6" s="13" t="s">
        <v>39</v>
      </c>
      <c r="D6" s="12">
        <f>821.7*12*20.67</f>
        <v>203814.46800000005</v>
      </c>
      <c r="F6" s="19">
        <v>78.349999999999994</v>
      </c>
    </row>
    <row r="7" spans="1:6">
      <c r="A7" s="5"/>
      <c r="B7" s="7" t="s">
        <v>5</v>
      </c>
      <c r="C7" s="13" t="s">
        <v>39</v>
      </c>
      <c r="D7" s="12">
        <f>821.7*6.08*12</f>
        <v>59951.232000000004</v>
      </c>
      <c r="F7" s="19">
        <v>21.65</v>
      </c>
    </row>
    <row r="8" spans="1:6">
      <c r="A8" s="5"/>
      <c r="B8" s="5"/>
      <c r="C8" s="13"/>
      <c r="D8" s="13"/>
    </row>
    <row r="9" spans="1:6">
      <c r="A9" s="5"/>
      <c r="B9" s="24" t="s">
        <v>6</v>
      </c>
      <c r="C9" s="25"/>
      <c r="D9" s="26"/>
    </row>
    <row r="10" spans="1:6">
      <c r="A10" s="5"/>
      <c r="B10" s="8" t="s">
        <v>8</v>
      </c>
      <c r="C10" s="13" t="s">
        <v>39</v>
      </c>
      <c r="D10" s="21">
        <f>821.7*12*2.38</f>
        <v>23467.752000000004</v>
      </c>
      <c r="F10" s="19">
        <v>12.62</v>
      </c>
    </row>
    <row r="11" spans="1:6">
      <c r="A11" s="5"/>
      <c r="B11" s="8" t="s">
        <v>40</v>
      </c>
      <c r="C11" s="13" t="s">
        <v>39</v>
      </c>
      <c r="D11" s="21">
        <v>20000</v>
      </c>
      <c r="F11" s="19"/>
    </row>
    <row r="12" spans="1:6">
      <c r="A12" s="5"/>
      <c r="B12" s="8" t="s">
        <v>9</v>
      </c>
      <c r="C12" s="13" t="s">
        <v>39</v>
      </c>
      <c r="D12" s="21">
        <f>821.7*12*4.82</f>
        <v>47527.128000000012</v>
      </c>
      <c r="F12" s="19">
        <v>15.55</v>
      </c>
    </row>
    <row r="13" spans="1:6">
      <c r="A13" s="5"/>
      <c r="B13" s="8" t="s">
        <v>10</v>
      </c>
      <c r="C13" s="13" t="s">
        <v>39</v>
      </c>
      <c r="D13" s="21">
        <f>821.7*12*2.29</f>
        <v>22580.316000000003</v>
      </c>
      <c r="F13" s="19">
        <v>11.46</v>
      </c>
    </row>
    <row r="14" spans="1:6">
      <c r="A14" s="5"/>
      <c r="B14" s="8" t="s">
        <v>11</v>
      </c>
      <c r="C14" s="13" t="s">
        <v>39</v>
      </c>
      <c r="D14" s="21">
        <f>821.7*12*3.4</f>
        <v>33525.360000000001</v>
      </c>
      <c r="F14" s="19">
        <v>13.98</v>
      </c>
    </row>
    <row r="15" spans="1:6">
      <c r="A15" s="5"/>
      <c r="B15" s="8" t="s">
        <v>12</v>
      </c>
      <c r="C15" s="13" t="s">
        <v>39</v>
      </c>
      <c r="D15" s="21">
        <f>821.7*12*2.61</f>
        <v>25735.644000000004</v>
      </c>
      <c r="F15" s="19">
        <v>8.1199999999999992</v>
      </c>
    </row>
    <row r="16" spans="1:6">
      <c r="A16" s="5"/>
      <c r="B16" s="8" t="s">
        <v>13</v>
      </c>
      <c r="C16" s="13" t="s">
        <v>39</v>
      </c>
      <c r="D16" s="21">
        <f>821.7*12*4.64</f>
        <v>45752.256000000001</v>
      </c>
      <c r="F16" s="19">
        <v>18.14</v>
      </c>
    </row>
    <row r="17" spans="1:6">
      <c r="A17" s="5"/>
      <c r="B17" s="8" t="s">
        <v>36</v>
      </c>
      <c r="C17" s="13" t="s">
        <v>39</v>
      </c>
      <c r="D17" s="21">
        <f>821.7*12*0.1</f>
        <v>986.04000000000019</v>
      </c>
      <c r="E17" s="16"/>
      <c r="F17" s="19">
        <v>0.41</v>
      </c>
    </row>
    <row r="18" spans="1:6">
      <c r="A18" s="5"/>
      <c r="B18" s="8" t="s">
        <v>38</v>
      </c>
      <c r="C18" s="13" t="s">
        <v>39</v>
      </c>
      <c r="D18" s="21">
        <f>821.7*12*0.43</f>
        <v>4239.9720000000007</v>
      </c>
      <c r="F18" s="19">
        <v>2.52</v>
      </c>
    </row>
    <row r="19" spans="1:6">
      <c r="A19" s="5"/>
      <c r="B19" s="9" t="s">
        <v>14</v>
      </c>
      <c r="C19" s="13" t="s">
        <v>39</v>
      </c>
      <c r="D19" s="11">
        <f>D18+D17+D16+D15+D14+D13+D12+D11+D10</f>
        <v>223814.46800000002</v>
      </c>
      <c r="E19" s="16"/>
      <c r="F19" s="19" t="e">
        <f>F18+F17+F16+F15+F14+F13+F12+F11+F10+#REF!+#REF!</f>
        <v>#REF!</v>
      </c>
    </row>
    <row r="20" spans="1:6">
      <c r="A20" s="5"/>
      <c r="B20" s="6" t="s">
        <v>15</v>
      </c>
      <c r="C20" s="13" t="s">
        <v>39</v>
      </c>
      <c r="D20" s="11">
        <f>D6-D19</f>
        <v>-19999.999999999971</v>
      </c>
    </row>
    <row r="21" spans="1:6">
      <c r="A21" s="5"/>
      <c r="B21" s="24" t="s">
        <v>16</v>
      </c>
      <c r="C21" s="25"/>
      <c r="D21" s="26"/>
    </row>
    <row r="22" spans="1:6">
      <c r="A22" s="5"/>
      <c r="B22" s="6" t="s">
        <v>17</v>
      </c>
      <c r="C22" s="13" t="s">
        <v>39</v>
      </c>
      <c r="D22" s="11"/>
    </row>
    <row r="23" spans="1:6">
      <c r="A23" s="5"/>
      <c r="B23" s="7" t="s">
        <v>29</v>
      </c>
      <c r="C23" s="13" t="s">
        <v>39</v>
      </c>
      <c r="D23" s="12">
        <v>15000</v>
      </c>
    </row>
    <row r="24" spans="1:6">
      <c r="A24" s="5"/>
      <c r="B24" s="6" t="s">
        <v>15</v>
      </c>
      <c r="C24" s="13" t="s">
        <v>39</v>
      </c>
      <c r="D24" s="11">
        <f>D7-D23</f>
        <v>44951.232000000004</v>
      </c>
    </row>
  </sheetData>
  <mergeCells count="3">
    <mergeCell ref="A2:D2"/>
    <mergeCell ref="B9:D9"/>
    <mergeCell ref="B21:D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92</vt:i4>
      </vt:variant>
    </vt:vector>
  </HeadingPairs>
  <TitlesOfParts>
    <vt:vector size="92" baseType="lpstr">
      <vt:lpstr>1</vt:lpstr>
      <vt:lpstr>2</vt:lpstr>
      <vt:lpstr>3</vt:lpstr>
      <vt:lpstr>4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90</vt:lpstr>
      <vt:lpstr>91</vt:lpstr>
      <vt:lpstr>92</vt:lpstr>
      <vt:lpstr>93</vt:lpstr>
      <vt:lpstr>104</vt:lpstr>
      <vt:lpstr>105</vt:lpstr>
      <vt:lpstr>106</vt:lpstr>
      <vt:lpstr>107</vt:lpstr>
      <vt:lpstr>108</vt:lpstr>
      <vt:lpstr>109</vt:lpstr>
      <vt:lpstr>110</vt:lpstr>
      <vt:lpstr>111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2013-05-08T03:01:55Z</cp:lastPrinted>
  <dcterms:created xsi:type="dcterms:W3CDTF">2013-04-23T07:29:32Z</dcterms:created>
  <dcterms:modified xsi:type="dcterms:W3CDTF">2013-11-13T05:03:39Z</dcterms:modified>
</cp:coreProperties>
</file>